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475" tabRatio="744" activeTab="0"/>
  </bookViews>
  <sheets>
    <sheet name="COMPUTO ESECUTIVO VIA VICO" sheetId="1" r:id="rId1"/>
  </sheets>
  <definedNames>
    <definedName name="_xlnm.Print_Area" localSheetId="0">'COMPUTO ESECUTIVO VIA VICO'!$A$1:$K$689</definedName>
  </definedNames>
  <calcPr fullCalcOnLoad="1"/>
</workbook>
</file>

<file path=xl/sharedStrings.xml><?xml version="1.0" encoding="utf-8"?>
<sst xmlns="http://schemas.openxmlformats.org/spreadsheetml/2006/main" count="867" uniqueCount="341">
  <si>
    <t>lavabo rettangolare bianco con spigoli arrotondati o tondeggiante: in porcellana dura vetrochina da 68x57cm, nei colori e modelli da sottoporre alla D.L. tramite schede tecniche per approvazione; eventualmente da incasso per formazioni di lavabi in muratura.</t>
  </si>
  <si>
    <t>bagno disabili 1 b5</t>
  </si>
  <si>
    <t>bagno disabili 1 b1</t>
  </si>
  <si>
    <t>GRUPPO B4 e SPOGLIATOI</t>
  </si>
  <si>
    <t>PIANO PRIMO AREA VICO</t>
  </si>
  <si>
    <t>PIANO PRIMO AREA INT AMBUL.</t>
  </si>
  <si>
    <t>PIANO TERRA AREA INT. AMBUL.</t>
  </si>
  <si>
    <t xml:space="preserve">CORRIDOIO PIANO TERRA </t>
  </si>
  <si>
    <t>CORRIDOIO PIANO PRIMO</t>
  </si>
  <si>
    <t>DETRAZIONE CORRIDOIO P.T.</t>
  </si>
  <si>
    <t>DETRAZIONE CORRIDOIO P.1^</t>
  </si>
  <si>
    <t>Formazione di casseri rettangolari per tappetini di ingresso, con laterali in acciaio inox di opportuno spessore, più fornitura e posa di tappetino doppio (per le due entrate) intercambiabile del tipo da sottoporre alla D.L. tramite schede tecniche, con logo INPS colorato impresso sugli stessi (uno per ogni ingresso).</t>
  </si>
  <si>
    <t>INGRESSO-ATTESA PUBBLICO P.T.</t>
  </si>
  <si>
    <t>ATTESA PUBBLICO P.1^</t>
  </si>
  <si>
    <t>Inserimento di pezzi speciali nel pavimento, eseguiti con taglio ad acqua, per formazione di logo nell'area di ingresso, ed in corrispondenza ad ogni area di processo, aventi le caratteristiche dei materiali come alla voce PAVIMENTO IN GRES PORCELLANATO</t>
  </si>
  <si>
    <t>5bis</t>
  </si>
  <si>
    <t>27 (1,25x4x0,04)</t>
  </si>
  <si>
    <t>26 (47x0,5+63x0,5)</t>
  </si>
  <si>
    <t>Rifacimento di balconi ai piani terra e primo con demolizione dei massetti esistenti, trasporto ed oneri a discarica, e rifacimento con pavimentazione in gres per esterni ivi compresi lastre in mermo ai bordi .</t>
  </si>
  <si>
    <t>Pareti mobili vetrate all'ingresso principale del centro, ad altezza superiore ai 350 cm. Ivi compresi gli inserimenti di porte, di cui una a battente ed una scorrevole, complete di tutti gli accessori per dare l'opera completa a perfetta regola d'arte. Vedi tavole</t>
  </si>
  <si>
    <t>Coibentazione termoacustica di muri esterni con rivestimento in cartongesso, compresa la posa di garze in corrispondenza alle giunzioni, e la stuccatura  delle stesse prima della tinteggiatura delle pareti.</t>
  </si>
  <si>
    <t>VELETTE piano primo</t>
  </si>
  <si>
    <t>VELETTE piano terra</t>
  </si>
  <si>
    <t>RIMOZIONE apparecchi sanitari, compreso abbassamento  al piano di carico, escluso carico e trasporto alle discariche.</t>
  </si>
  <si>
    <t>mq.</t>
  </si>
  <si>
    <t>ml.</t>
  </si>
  <si>
    <t>Tavolato interno di mattoni forati 8x12x24, spessore 8 cm. (di quarto) compreso ponteggi, in malta fine di calce eminentemente idraulica.</t>
  </si>
  <si>
    <t>ALLESTIMENTO di cantiere, delimitazione dell'area operativa esterna con recinzione mobile munita di appositi accessi, posto in posizione laterale al cortile interno dell'isolato, con fornitura e posa di pannelli protettivi durante le fasi di lavorazione, ed opportunamente fissati, relativo box con servizi a norma, e contenimento di attrezzature e materiali di lavorazioni, oneri per allacciamento temporaneo alla rete elettrica cittadina, più fornitura e sistemazione di segnaletica esterna di sicurezza in tutte le fasi lavorative, ivi compresi spostamenti del tutto per eventuali imprevisti nelle lavorazioni, il tutto nel rispetto delle normative vigenti in tema di sicurezza nei cantieri temporanei e mobili.</t>
  </si>
  <si>
    <t>sedile in legno preverniciato con paracolpi, bulloni e coperchio.</t>
  </si>
  <si>
    <t xml:space="preserve">Dim.   3 mq </t>
  </si>
  <si>
    <t xml:space="preserve">RIMOZIONE di Vecchi termosifoni, più relative canalizzazioni fino alle colonne montanti compresi carico trasporto e discarica   26 + 28 </t>
  </si>
  <si>
    <t>26 + 28 piani terra e primo</t>
  </si>
  <si>
    <t>AMBULATORI</t>
  </si>
  <si>
    <t>INFISSI SU CORTILE</t>
  </si>
  <si>
    <t>INFISSI SU RETRO</t>
  </si>
  <si>
    <t>INFISSI LATO VIA VICO</t>
  </si>
  <si>
    <t>INFISSI (VETRATA CONTINUA) LATO VIA VICO</t>
  </si>
  <si>
    <t>RIMOZIONE per sostituzione di CLER metalliche al piano terra nello stesso tipo delle esistenti</t>
  </si>
  <si>
    <t>VETRATE SOPRA  CASSONETTI</t>
  </si>
  <si>
    <t>GRIGLIE SOPRA  CASSONETTI</t>
  </si>
  <si>
    <t>BAGNO   B3</t>
  </si>
  <si>
    <t>BAGNO   B4</t>
  </si>
  <si>
    <t>BAGNO   B5</t>
  </si>
  <si>
    <t>BAGNO   B6</t>
  </si>
  <si>
    <t>BAGNO   B7</t>
  </si>
  <si>
    <t>BAGNO   B8</t>
  </si>
  <si>
    <t>BAGNO   B9</t>
  </si>
  <si>
    <t>BAGNO   B10</t>
  </si>
  <si>
    <t>BAGNO   B11</t>
  </si>
  <si>
    <t>BAGNO   B12</t>
  </si>
  <si>
    <t>FORMAZIONE di cavedi per bagni (1 per ogni gruppo nuovi bagni), con apertura di fori nei solai, inserimento di braghe, e ricoprimento con carter metallici o con costruzione di false pareti o controsoffitti di contenimento al piano sottostante, ivi compresi materiali, smaltimenti e uso attrezzature idonee</t>
  </si>
  <si>
    <t xml:space="preserve">Assistenza murarie per l'installazione di impianto idrosanitario completo di apparecchi, rubinetterie e rete di scarico, esclusa la manovalanza in aiuto ai montatori, in percentuale sul prezzo dell'impianto. </t>
  </si>
  <si>
    <t xml:space="preserve">Assistenze murarie alla posa di pavimenti in piastrelle di grès e linoleum, escluso la manovalanza in aiuto ai posatori. </t>
  </si>
  <si>
    <t>Assistenze murarie alla posa di zoccolino di grès e marmo, escluso la manovalanza in aiuto ai posatori.</t>
  </si>
  <si>
    <t>Vaso igienico bianco a pianta ovale o poligonale: tipo a cacciata in porcellana dura (vetrochina) completo di accessori di montaggio, nei colori e modelli da sottoporre alla D.L. con scheda tecnica per approvazione.</t>
  </si>
  <si>
    <t>RIMOZIONE di lattonerie varie, canaline esterne su muri ed interruttori impiantistici posizionati su pareti, compresi accessori di fissaggio, e abbassamento al piano di carico dell'automezzo, escluso opere provvisionali, carico e trasporto alle discariche. Su entrambi i piani</t>
  </si>
  <si>
    <t>Ripristino parziale di colonne di scarico (fogne) presenti ivi compresi tutti i pezzi di raccordo alla base ed alla sommità degli interventi</t>
  </si>
  <si>
    <t>Ripristino parziale di colonne di scarico (pluviali) presenti ivi compresi tutti i pezzi di raccordo alla base ed alla sommità degli interventi</t>
  </si>
  <si>
    <t>AMBULATORI MEDICI PIANI TERRA E PRIMO LATO VIA VICO 1</t>
  </si>
  <si>
    <r>
      <t xml:space="preserve">NOLO automezzo per trasporto alle discariche (capienza 2 mc x 4 viaggi giornalieri) </t>
    </r>
    <r>
      <rPr>
        <b/>
        <sz val="8"/>
        <rFont val="Arial"/>
        <family val="2"/>
      </rPr>
      <t>(mc/8mcgiorno= ngiorni) (rapporto incrementale per mc di materiale= 2)</t>
    </r>
  </si>
  <si>
    <t>PORTE DA RIMUOVERE</t>
  </si>
  <si>
    <t>BAGNO B1</t>
  </si>
  <si>
    <t>BAGNO B2</t>
  </si>
  <si>
    <t>ml</t>
  </si>
  <si>
    <t>VOCE</t>
  </si>
  <si>
    <t>DEMOLIZIONE massetti di spessore compreso tra 0 e 4 cm Esclusa discarica, ass. murarie, carico su mezzo e trasporto</t>
  </si>
  <si>
    <t>RIMOZIONE pavimenti in gomma o vinile Esclusa discarica</t>
  </si>
  <si>
    <t>DEMOLIZIONE di controsoffitti  Escluso carico, discarica e op. provvis.</t>
  </si>
  <si>
    <t>RIMOZIONE rivestimenti interni  compresa malta di ancoraggio, abbassamento al piano di carico, escluso carico e trasporto alle discariche.</t>
  </si>
  <si>
    <t>Fornitura e posa di lastre in marmo tipo per soglie sotto vetrine esterne dello spessore di cm 3, in alzata e pedata</t>
  </si>
  <si>
    <t>RIVESTIMENTO di GRADINI di scale interne  e soglie ingressi porte da esterni sia in alzata che in pedata in marmo di tipo granito (colore e graniglia da concordare con la direzione dei lavori), dello spessore di 4cm nelle dimensioni, colori e forma da vedere nelle tavole grafiche, ivi compreso il trattamento di scanalatura antiscivolo delle pedate per mantenere le condizioni di sicurezza antiscivolo degli utilizzatori</t>
  </si>
  <si>
    <t xml:space="preserve">Porte interne  a battente (possibilmente nello stesso tipo di quelle montate su pareti mobili o similari e comunque da concordare con la D.L. tramite schede tecniche) complete di guarnizioni in gomma, cerniere in ottone/acciaio, serratura, maniglia e stipite con coprifili ad incastro: mm. 2100x900/850/800/700/600 tav. da cm 8 a 12.  (NOTA:nei bagni disabili con apposite maniglie) </t>
  </si>
  <si>
    <t>CARICO, TRASPORTO, DISCARICHE</t>
  </si>
  <si>
    <t>BONIFICA DA CAVI E CANALINE PRESENTI SUI SOFFITTI E NELLE PARETI PIANO TERRA</t>
  </si>
  <si>
    <t>BONIFICA DA CAVI E CANALINE PRESENTI SUI SOFFITTI E NELLE PARETI PIANO PRIMO</t>
  </si>
  <si>
    <t>LATI</t>
  </si>
  <si>
    <t>SCROSTAMENTO di intonaci interni e/o copriferro in parti c.a. fino al vivo della muratura e/o dei ferri, compreso abbassamento al piano di carico, escluso carico e trasporto alle discariche.</t>
  </si>
  <si>
    <t>PILASTRI ESTERNI n.6 lotto1</t>
  </si>
  <si>
    <t>RIMOZIONE di pavimenti interni e lastre in marmo sotto vetrine esterne su strada, compreso abbassamento al piano di carico, escluso il sottofondo, il carico e il trasporto alle discariche</t>
  </si>
  <si>
    <t>RIMOZIONE serramenti in legno, ferro e vetro ad esclusione dei cassonetti per le tapparelle presenti, compreso abbassamento al piano di carico, escluso opere provvisionali e trasporto a discariche</t>
  </si>
  <si>
    <t>LASTRE SOTTO VETRINE LATO VIA VICO (2,42+3,35+3,25+3,3+3,25); h=50+30CM)</t>
  </si>
  <si>
    <t>ore</t>
  </si>
  <si>
    <t>COD. ARTICOLO</t>
  </si>
  <si>
    <t>RIMOZIONE zoccolini interni compreso abbassamento al piano di carico,escluso carico e trasporto alle discariche,in legno o plastica,</t>
  </si>
  <si>
    <t>TAGLIO A SEZIONE  di tavolati interni ed esterni, compreso abbassamento al piano di carico escluso opere provvisionali, per spessori fino a 12 cm</t>
  </si>
  <si>
    <t>Suddivisa  in diversi moduli  da cm 140 x altezza 240 Tipologia  parapetto e sopraluce fissi da cm 50  Specchiatura centrale apribile ad anta + ribalta  Vetri stratificati  4.4+16+3.3 basso emissivo   (n.13 moduli)</t>
  </si>
  <si>
    <t xml:space="preserve">AREA FINO AL RULLO </t>
  </si>
  <si>
    <t>SERRAMENTI   con esposizione  sul cortile interno Completi di vetro stratificato 4.4 +16+3.3 basso emissivo   e coprifili interni  . Smaltimento e rimozione dei vecchi conteggiata in voce rimozioni</t>
  </si>
  <si>
    <t>RIMOZIONE di ringhiera della scala interna e ringhiera di balcone esterno demolito per formazione rampa per diversamente abili ivi compreso il carico, trasporto su automezzo e compenso a discarica</t>
  </si>
  <si>
    <t>Fornitura e posa di vetrata per interni posta a chiusura della scala interna dalla zona di attesa/ingresso, per i piani terra e primo,nella posizione indicata sugli elaborati grafici, ivi compreso dispositivo di automazione per porta scorrevole a vetri per il piano terra: 10x4,50 p.t.+6,00x3,20+2 porte  a vetri scorrevoli + una porta a battente a vetri + automatismi per porta scorrevole</t>
  </si>
  <si>
    <t>Rivestimento di pilastri all'ingresso con carter in acciaio o in materiale plastico/resinoso su struttura metallica opportunamente fissata alle strutture, e formazione di zoccolino circolare alla base in alluminio o acciaio, ivi compresa la posa in opera,  sagoma e sezioni come da elaborati grafici</t>
  </si>
  <si>
    <t xml:space="preserve">Rivestimenti di pareti in zona ingresso/atrio in gres porcellanato per formazione di bacheca o pannello informativo per il pubblico, da porre su apposita struttura metallica fissata alla parete/i per distaccare il pannello dalla parete e renderlo retroilluminato, ivi comprese le predisposizioni impiantistiche per tali elementi elettronici, vedi disegni e segui indicazioni della D.L. </t>
  </si>
  <si>
    <t>Formazione di PONTEGGIO A NORMA preso a nolo per circa 1 mese, posto in opera sul marciapiede a cavallo strada lato via vico per posa di vetrate al piano primo , con impronta a terra di mq : 1,00x68,00=68,00 mq in verticale: sup.: 68x 7=476 mq</t>
  </si>
  <si>
    <t>Assistenza alla posa di serramenti per finestre ed infissi  in alluminio etc. quantità voci n.4</t>
  </si>
  <si>
    <t>PIANO PRIMO TRASV.</t>
  </si>
  <si>
    <t>PIANO PRIMO LONG.</t>
  </si>
  <si>
    <t>PIANO PRIMO INCR, LATO VICO</t>
  </si>
  <si>
    <t>Pavimento in Linoleum posato con collante previa normale lisciatura del fondo utilizzando speciali rasanti ed additivi di marche più comuni in commercio, avente tinta unita o a grana di riso non direzionale e finitura superficiale antiriflesso, in quadrotti delle dimensioni 60 x60 , spessore mm 2,0 , ivi comprese saldature a caldo dei giunti con speciale cordolo in gomma, e formazione di guscie agli angoli con inserimento degli appositi elementi (schede da sottoporre alla d.l.), ivi comprese le formazioni di giunti di dilatazione (con modelli da sottoporre alla D.L.) inseriti ogni __metri. (Le quantità sono state incrementate dello sfrido e dei risvolti ad angolo verso i muri per una altezza di almeno 8 10 cm)</t>
  </si>
  <si>
    <t>Fornitura e posa di ringhiera per scala interna in vetro doppio (di sicurezza) almeno 2 - 2,5 cm inserita alla base su telaio in acciaio inox, con corrimano superiore in acciaio  nella forma stabilita dalla d.l. ivi compresi gli accessori di fissaggio e completamento per il raggiungimento del piano primo dal piano terra</t>
  </si>
  <si>
    <t>Oneri per occupazione suolo pubblico per formazione ponteggio lungo circa 65ml e largo 1 metro ad uso sistemazione facciata principale con sostituzione degli infissi (vetrate continue) posti al primo piano dell'edificio, per la durata di giorni di circa 20+20= 40 giorni, a cavallo del marciapiede e strada, secondo regolamento COSAP del Comune di Milano (3,65x0,8x0,4x65mq x 20gg) più eventuali imprevisti in giorni circa 10 (coeff. motipl. 1,30)</t>
  </si>
  <si>
    <t>Esecuzione di prove di carico su solai a rinforzi eseguiti  a collaudo delle strutture migliorate per carico di esercizio</t>
  </si>
  <si>
    <t>Sollevamento di macchine refrigeranti al piano di copertura posto ad altezza di circa 22 metri con autogru, previo chiusura parziale della strada, spostamento delle linee elettriche di illuminazione stradale ed ogni altro onere relativo al mantenimento delle condizioni di sicurezza durante le operazioni di sollevamento</t>
  </si>
  <si>
    <t>Fornitura e posa di Rubinetto a miscelatore elettronico da lavabo monoforo, con scocca e parti idrauliche di ottone massiccio con regolatore doi portata a 5-6 litri minuto. Circuito ad infrarossi con dispositivo antiallagamento incorporato, fissato a vite di tipo antivandalico ed alloggiato all'interno del rubinetto insieme all'elettrovalvolamotorizzatampleta per lavabo , piletta e sifone a bottiglia da 1.1/4, due rubinetti di regolaggio sottolavello da 1/2", flessibili di collegamento con rosette, viti e tasselli di fissaggio.</t>
  </si>
  <si>
    <t>Barre, corrimani e quant'altro occorre per servizio disabili, ivi compreso specchio a norma (1 P.T. + 1 P.1^) e rubinetto con maniglia lunga</t>
  </si>
  <si>
    <t>PIANO TERRA muri interni H1</t>
  </si>
  <si>
    <t>PIANO TERRA muri interni H3</t>
  </si>
  <si>
    <t>PIANO TERRA muri interni H4</t>
  </si>
  <si>
    <t>PORTA SU SCALA CONDOMINIALE</t>
  </si>
  <si>
    <t>MODIFICA SERRAM. SU BALCONE</t>
  </si>
  <si>
    <t>APERTURA PORTA SU PASSO CARRAIO</t>
  </si>
  <si>
    <t>RIMOZIONE per sostituzione di tapparelle ai piani terra e primo nello stesso tipo delle esistenti, escluso carico, trasporto ed oneri a discarica</t>
  </si>
  <si>
    <t>PORTA ESTERNA</t>
  </si>
  <si>
    <t>PORTE ESTERNE</t>
  </si>
  <si>
    <t>piano terra</t>
  </si>
  <si>
    <t>piano primo</t>
  </si>
  <si>
    <t>PIANO TERRA</t>
  </si>
  <si>
    <t>Tavolato interno di mattoni forati Spessore 18 cm. compreso ponteggi, in malta fine di calce eminentemente idraulica.</t>
  </si>
  <si>
    <t xml:space="preserve">PIANO TERRA </t>
  </si>
  <si>
    <t>PIANO TERRA B1</t>
  </si>
  <si>
    <t>PIANO TERRA B2</t>
  </si>
  <si>
    <t>PIANO PRIMO B3</t>
  </si>
  <si>
    <t>PIANO PRIMO B4INT</t>
  </si>
  <si>
    <t>PIANO PRIMO B4EST</t>
  </si>
  <si>
    <t>PIANO PRIMO B5INT</t>
  </si>
  <si>
    <t>PIANO PRIMO B5EST</t>
  </si>
  <si>
    <t>PIANO TERRA TRASV.</t>
  </si>
  <si>
    <t>PIANO TERRA LONG.</t>
  </si>
  <si>
    <t>Controtelai e falsi stipiti in abete, spessore 22 mm. con zanche per ancoraggio alla armatura: larghezza fino a mm. 110.</t>
  </si>
  <si>
    <t>Porte interne  a scorrimento, in vetro temprato a norma 626/94 complete di guarnizioni in gomma, serratura, maniglia e stipite con coprifili ad incastro, segnalazioni adesive con logo INPS sulle due ante, di indicazioni stabilite dalla D.L.: mm. 2100x900/800; più eventuali raccordi alle pareti di fissaggio/mobili; è compresa la mano d'opera.</t>
  </si>
  <si>
    <t>Vaso igienico per disabili con acc., nei modelli da sottoporre alla D.L. tramite scheda tecnica per approvazione.(1 P.T. + 1 P.1^)</t>
  </si>
  <si>
    <t>Lavabi per disabili con acc., nei modelli da sottoporre alla D.L. tramite scheda tecnica per approvazione.(1 P.T. + 1 P.1^)</t>
  </si>
  <si>
    <t>Porte interne  a scorrimento a due ante, in vetro temprato a norma 626/94 complete di automatismi, guarnizioni, apposita maniglia e stipite con coprifili ad incastro, segnalazioni adesive con logo INPS sulle due ante, di indicazioni stabilite dalla D.L.: mm. 2100x900/800; più eventuali raccordi alle pareti di fissaggio/mobili; è compresa la mano d'opera.(1 P.T. + 1 P.1^)</t>
  </si>
  <si>
    <t xml:space="preserve">Porte REI 120 con rivestimento interno in legno, ivi compresa la certificazione di installazione e della stessa porta. Luci nette passaggio min 920 x 2110 mm; n. 1 dx e n.1 sx. </t>
  </si>
  <si>
    <t>Porte REI 120 a 2 ANTE nei colori e modelli da sottoporre alla D.L. per approvazione tramite schede tecniche, ivi compresa la certificazione di installazione e della stessa porta da redigere secondo modelli dei Vigili del Fuoco. Luci nette passaggio min 2 x 600 x 2110 mm, max 2 x 800 x 2100 mm. Poste a chiusura dei corridoi verso gli ambulatori</t>
  </si>
  <si>
    <t>PIANO TERRA SU RAMPA</t>
  </si>
  <si>
    <t>Porta di sicurezza per esterni a due ante con inserti a vetri e con rivestimento interno in legno, ivi compresa la certificazione di installazione. Luci nette passaggio min 2150 x 2110 mm. (per rampa disabili)</t>
  </si>
  <si>
    <t>Stuccatura saltuaria e parziale di superfuci interne lisciate a gesso, onde eliminare eventuali oiccole scalfitture, compresa la carteggiatura delle parti stuccate, con stucco emulsionato. Quantità:  20% DELLA VOCE PRECEDENTE</t>
  </si>
  <si>
    <t>Fornitura in opere di CONTROSOFFITTO in CARTONGESSO completo di struttura di sostegno, parti verticali per formazione dilivelli differenziati dell'intradosso, ivi comprese le situazioni particolari e quant'altro occorre per dare il tutto completo a perfetta regola d'arte (sup.vert.=10% sup.orizz.)</t>
  </si>
  <si>
    <t>PIANO TERRA PARETI LONG.</t>
  </si>
  <si>
    <t>PIANO TERRA PARETI TRASV.</t>
  </si>
  <si>
    <t>PIANO TERRA E PRIMO SOFFITTI E VELETTE (vedi controsoffitti in cartongesso)</t>
  </si>
  <si>
    <t>PIANO PRIMO PARETI TRASV.</t>
  </si>
  <si>
    <t>PIANO PRIMO PARETI LONG.</t>
  </si>
  <si>
    <t>PIANO PRIMO PARETI LONG. VICO</t>
  </si>
  <si>
    <t>PIANO PRIMO PARETI TRASV. VICO</t>
  </si>
  <si>
    <r>
      <t xml:space="preserve">Pitturazione a due riprese in tinta unica chiara con pittura lavabile in parti basse anche con smalti all'acqua, </t>
    </r>
    <r>
      <rPr>
        <b/>
        <sz val="8"/>
        <rFont val="Arial"/>
        <family val="2"/>
      </rPr>
      <t>adatta a locali tipo ambulatori medici,</t>
    </r>
    <r>
      <rPr>
        <sz val="8"/>
        <rFont val="Arial"/>
        <family val="2"/>
      </rPr>
      <t xml:space="preserve"> così come prescritto da normative di igiene vigenti, su superifici interne intonacate a civile o lisciate a stucco, già preparate e isolate.</t>
    </r>
  </si>
  <si>
    <t xml:space="preserve">Pitturazione a due riprese in tinta unica chiara con pittura emulsionata idropittura, su superifici interne intonacate a civile o lisciate a stucco, già preparate e isolate: pitture all'acqua. </t>
  </si>
  <si>
    <t xml:space="preserve">Fornitura e posa di apparecchio di scarico elettronico per wc, munito di fotocellula munito di filtro ispezionabile, rubinetto a sfera per apertura, regolazione e chiusura dell'acqua, pulsante di scarico di emergenza ed elettrovalvola </t>
  </si>
  <si>
    <t>Smaltimento di materiali vari non classificabili come terre bianche provenienti da ambienti interni allo stabile ed oggetto dei lavori, posti ai piani interrato terra e primo, ivi compresi gli oneri di carico su automezzo, trasporto a discarica con appositi mezzi ed oneri alla discarica autorizzata al ricevimento di materiali comunque non pericolosi. Relativo al LOTTO 1</t>
  </si>
  <si>
    <t>Verifiche strutturali integrate alla progettazione eseguitsa in corso d'opera ivi compreso eventuale collaudo provvisorio strutture</t>
  </si>
  <si>
    <t>Formazione di massetto in cls alleggerito</t>
  </si>
  <si>
    <t>Rimozione di pietre tipo ceppo lombardo poste a rivestimento dei pilastri esterni, e accatastamento delle stesse in cantiere secondo disposizioni della d.l. per l'eventuale recupero e reimpiego delle stesse, oltre all'eventuale integrazione di parti rotte con pietre nuove dello stesso tipo (a pilastro: 1 ora x 2 persone per la rimozione e accatast., comprese opere provvisionali,) (N.6PILASTRI)</t>
  </si>
  <si>
    <t>Asportazione di materiale inconsistente fino al rinvenimento delle armature eventualmente da passificare, esclusa passificazione e trattamenti successivi, con carico trasporto e onere a discarica per ogni pilastro</t>
  </si>
  <si>
    <t xml:space="preserve">Rinforzo dei travetti con lamine in fibre dicarbonio nel solaio tra il piano terra ed il primo: lunghezza 8m su due campate in totale x profondita 55m x 2 travetti al metro ipotizzando un rinforzo su ogni  travetto </t>
  </si>
  <si>
    <t>Fornitura e posa di Serramenti al Piano Terra in alluminio a taglio termico e antisfondamento,eseguiti con profili di tipo maggiorato, zoccolo di altezza cm 60 con doppia lamiera in alluminio, vetri isolanti stratificati 5,5 pvb 0,76 +15+5,5 basso emissivo12/10 coibentato</t>
  </si>
  <si>
    <t>Noleggio di gru per posizionamento di vetri antisfondamento per 1/2 giorno con operatore compreso</t>
  </si>
  <si>
    <t>Fornitura e posa di scossaline (LUNGHEZZA  FRONTE 14M) in rame per formazione di gocciolatoio sopra vetrate al primo piano (7,2kg/mq di materiale) (14mlx0,5m x 7,2kg/mq)= 50 kg</t>
  </si>
  <si>
    <t>Pilette a terra negli antibagni complete di ogni accessorio per il corretto posizionamento e funzionamento delle stesse Piani terra e primo: 4+6</t>
  </si>
  <si>
    <t>Montaggio di termosifoni con kit completo di riduzioni (1 ora per termo x 2 persone)</t>
  </si>
  <si>
    <t>Fornitura e posa in opera di corpi scaldanti delle dimensioni di 600 - 800 mm di altezza e ad un numero variabile di elementi in alluminio con un minimo di 12 elementi CADAUNO</t>
  </si>
  <si>
    <t>Rinforzo solai con soletta per estradosso dello spessore di circa 5cm con inserimento di rete elettrosaldata e preparazione del piano di posa</t>
  </si>
  <si>
    <t>Rinforzo di travi intermedie con fibre di carbonio n.2x50ml</t>
  </si>
  <si>
    <t xml:space="preserve">PIANO TERRA lavabi ambulatori </t>
  </si>
  <si>
    <t>Rivestimento interno, in piastrelle di gres porcellanato, posati con collante (compreso), compreso sigillatura in bianco dei giunti, compreso bordi smussati, cm 30x30 , o 45 x 45 cm, tinte unite, nei colori e finiture superficiali da sottoporre tramite schede tecniche alla D.L. per approvazione.</t>
  </si>
  <si>
    <t xml:space="preserve">PIANO PRIMO lavabi ambulatori </t>
  </si>
  <si>
    <t xml:space="preserve"> corpo</t>
  </si>
  <si>
    <t>cd</t>
  </si>
  <si>
    <t xml:space="preserve">Fornitura e posa in opera di tastiera retroilluminata </t>
  </si>
  <si>
    <t>Rivelatore di rottura vetri Acustico Digitale a doppia tecnologia……</t>
  </si>
  <si>
    <t>F.e p.o. di sirena da esterno autoalimentata…</t>
  </si>
  <si>
    <t xml:space="preserve">F. e p.o. di rete di distribuzione per il collegamento dei vari dispositivi con l’unità di gestione a microprocessore, </t>
  </si>
  <si>
    <t>Contatti magnetici del tipo elettronico, con  microproc..</t>
  </si>
  <si>
    <t>Rivelatore Digitale a doppia tecnologia…</t>
  </si>
  <si>
    <t>F. e p.o. di comandi luce per la gestione delle lampade dimmerabili ….</t>
  </si>
  <si>
    <t>F. e p.o. di comandi per servizi igienici, uffici, corridoi e locali …</t>
  </si>
  <si>
    <t>F. e p.o. di cassetta ad incasso e/o cartongesso per l’alimentazione …</t>
  </si>
  <si>
    <t>F. e p.o. di presa e/o interruttore magnetotermico …</t>
  </si>
  <si>
    <t xml:space="preserve">F. e p.o. per la chiamata disabile per ogni singolo servizio igienico </t>
  </si>
  <si>
    <t>F.e p.o. di cassette ad incasso e/o cartongesso con nodo equipotenziale..</t>
  </si>
  <si>
    <t>F. e p.o. per i locali tecnici dei quadri …</t>
  </si>
  <si>
    <t>F. e p.o. per i servizi igienici di corpi illuminanti in policarbonato….</t>
  </si>
  <si>
    <t>F. e p.o. di corpi illuminanti come al punto precedente complete ….</t>
  </si>
  <si>
    <t>F. e p.o. di corpi illuminanti ad incasso per le zone da realizzare in cartongesso…</t>
  </si>
  <si>
    <t>F. e p.o. di corpi illuminanti da esterno ….</t>
  </si>
  <si>
    <t>F.e p.o. di corpi illuminanti completi di gruppo di alimentazione …</t>
  </si>
  <si>
    <t>F.e p.o. per gli ambulatori medici di due prese a Y …</t>
  </si>
  <si>
    <t>F. e p.o. di impianto videocitofonico di primaria marca con un posto esterno ….</t>
  </si>
  <si>
    <t>F. e p.o. di automazione per apertura con tesserino INPS…</t>
  </si>
  <si>
    <t>F. e p.o. di cavi con attacco VDE dall’utenza posto di lavoro in parete ai  pc…</t>
  </si>
  <si>
    <t>F. e p.o. di comandi per l’apertura e chiusura delle serrande con chiave….</t>
  </si>
  <si>
    <t>F. e p.o. di 2 armadi dati da pavimento con zoccolino e ricezione cavi …</t>
  </si>
  <si>
    <t>F. e p.o. di dorsale dal punto di consegna al primo quadro e da questo al secondo…..</t>
  </si>
  <si>
    <t>F. e p.o. di cavo categoria 6X 4 coppie twistate….</t>
  </si>
  <si>
    <t>F. e p.o. di Centrale d’allarme a microprocessore, Omologata IMQ II° Livello.</t>
  </si>
  <si>
    <t>F. e p.o. di comando del tipo a chiave elettronica …</t>
  </si>
  <si>
    <t>F. e p.o. di avanquadro elettrico nelle vicinanze del punto consegna dell’energia ..</t>
  </si>
  <si>
    <t>F. e p.o. di quadro generale alimentato dall’avanquadro …</t>
  </si>
  <si>
    <t xml:space="preserve">F. e p.o. di quadro elettrico al piano primo </t>
  </si>
  <si>
    <t>F. e p.o. di quadri ad incasso minimo 12 moduli …</t>
  </si>
  <si>
    <t>F. e p.o. di canalina completa di coperchio…</t>
  </si>
  <si>
    <t>F. e p.o. di passerella di filo di acciaio dall’avanquadro ….</t>
  </si>
  <si>
    <t>F. e p.o. di passerella di filo di acciaio dai quadri di piano…</t>
  </si>
  <si>
    <t>F. e p.o. di passerella di filo di acciaio dai quadri di piano alle utenze dati,…</t>
  </si>
  <si>
    <t xml:space="preserve">Tacitazione impianto a distanza con relativo blocco per allarme </t>
  </si>
  <si>
    <r>
      <t xml:space="preserve">Quadro elettrico dedicato per contenere le appar. </t>
    </r>
    <r>
      <rPr>
        <sz val="8"/>
        <rFont val="Arial"/>
        <family val="2"/>
      </rPr>
      <t>impianto evacuazione</t>
    </r>
    <r>
      <rPr>
        <sz val="8"/>
        <color indexed="8"/>
        <rFont val="Arial"/>
        <family val="2"/>
      </rPr>
      <t xml:space="preserve">. </t>
    </r>
  </si>
  <si>
    <r>
      <t>Cavo come sopra da 3X2,5</t>
    </r>
    <r>
      <rPr>
        <sz val="8"/>
        <rFont val="Arial"/>
        <family val="2"/>
      </rPr>
      <t xml:space="preserve">  per l’alimentazione principale e dorsali …</t>
    </r>
  </si>
  <si>
    <t>F. e p.o. di pannelli autoalimentati con la dicitura “abbandonare i locali…</t>
  </si>
  <si>
    <t>Cavo FG10 non propagante la fiamma e resistente al fuoco 3X1,5 e/o 4X1.5mmq…….</t>
  </si>
  <si>
    <t>F. e p.o. di pulsanti di colore diverso dal rosso e giallo ….</t>
  </si>
  <si>
    <t>F. e p.o. di due sinottici riportanti le planimetrie di tutti i locali …</t>
  </si>
  <si>
    <t>F. e p.o. di centrale a microprocessore per la gestione ……</t>
  </si>
  <si>
    <t>F. e p.o. di due sirene da interno con ridotto consumo di corrente.</t>
  </si>
  <si>
    <t>F. e p.o. di canali ai punti precedenti di dimensioni ….</t>
  </si>
  <si>
    <t>F. e p.o. di canalizzazione esterna per l’alim. macchine raffresc.….</t>
  </si>
  <si>
    <t>F. e p.o. di canalizzazione incassata  a servizio di tutti i conduttori ….</t>
  </si>
  <si>
    <t>F. e p.o. di cavi unipolari a doppio isolamento per le tre fasi…</t>
  </si>
  <si>
    <t>F. e p.o. di cavi unipolari dall’interruttore dell’avanquadro ….</t>
  </si>
  <si>
    <t>F. e p.o. di cavo multipolare 5X35mmq dall’interruttore dedicato del quadro …</t>
  </si>
  <si>
    <t>F. e p.o. di cavo 3X4 mmq dagli interruttori …</t>
  </si>
  <si>
    <t>F. e p.o. di cavo 3X4 mmq dagli interruttori dedicati ai quadri di piano…</t>
  </si>
  <si>
    <t>F. e p.o. di linea per l’alimentazione delle porte …</t>
  </si>
  <si>
    <t>F. e p.o. linee di alimentazione delle lampade di emergenza…</t>
  </si>
  <si>
    <t>F. e p.o. conduttori unipolari dalla cassetta di derivazione…</t>
  </si>
  <si>
    <t>F. e p.o. posti lavoro di primaria marca …</t>
  </si>
  <si>
    <t>F. e p.o. corpi illuminanti costituiti da corpo in acciaio verniciato di dimensioni 60X60 …</t>
  </si>
  <si>
    <t xml:space="preserve">F. e p.o. di prese di servizio </t>
  </si>
  <si>
    <t>Smontaggio tiro in basso o alto di tutti i materiali elettrici …</t>
  </si>
  <si>
    <t>Pavimento in Linoleum posato con collante previa normale lisciatura del fondo utilizzando speciali rasanti ed additivi di marche più comuni in commercio,  per aree a traffico intenso, finitura superficiale antiriflesso, in quadrotti delle dimensioni 100 x 100 , spessore mm 3,5 ,avente tinta unita o a grana di riso, ivi comprese saldature a caldo dei giunti con speciale cordolo in gomma (schede da sottoporre alla d.l.), ivi comprese le formazioni di giunti di dilatazione (con modelli da sottoporre alla D.L.) inseriti ogni __metri.</t>
  </si>
  <si>
    <t>tubo di raccordo vaso - muro con rosone</t>
  </si>
  <si>
    <t>Colonna lavabo in porcellana dura vetrochina</t>
  </si>
  <si>
    <t>cad.</t>
  </si>
  <si>
    <t>Fornitura in opere di controsoffitto 60x60 in pannelli prefabbricati completi di struttura e quant'altro</t>
  </si>
  <si>
    <t xml:space="preserve">Applicazione di uno strato di isolante inibente, su superfici,  prima di procedere alle pitturazioni, rasature  o stuccature, base di resine emulsionate acriliche (trasparente o pigmentato). </t>
  </si>
  <si>
    <t>€</t>
  </si>
  <si>
    <t>corpo</t>
  </si>
  <si>
    <t>QUANTITÀ</t>
  </si>
  <si>
    <t>PARZIALE</t>
  </si>
  <si>
    <t>TOTALE</t>
  </si>
  <si>
    <t>LUNGHEZZA</t>
  </si>
  <si>
    <t>LARGHEZZA</t>
  </si>
  <si>
    <t>PREZZO UNITARIO</t>
  </si>
  <si>
    <t>PREZZO TOTALE</t>
  </si>
  <si>
    <t>INDICAZIONE DEI LAVORI E DELLE PROVVISTE</t>
  </si>
  <si>
    <t>mq</t>
  </si>
  <si>
    <t>mc</t>
  </si>
  <si>
    <t>AMBIENTE 1 PIANO TERRA</t>
  </si>
  <si>
    <t>AMBIENTE 1 PIANO PRIMO</t>
  </si>
  <si>
    <t>DEMOLIZIONE massetti di spessore &gt;4 cm (a cm) (sp=5cm P1^ e sp=10cm PT)Esclusa rimozione linoleum…..(euro 1,86 per ogni cm di spessore)</t>
  </si>
  <si>
    <t>DETRAZIONE PAVIMENTI BAGNI PIANO TERRA</t>
  </si>
  <si>
    <t>PAVIMENTI BAGNI E AMBULATORI PIANO TERRA</t>
  </si>
  <si>
    <t>UNITA' DI MISURA</t>
  </si>
  <si>
    <t>cad</t>
  </si>
  <si>
    <t xml:space="preserve">ALTEZZA   </t>
  </si>
  <si>
    <t>PIANO PRIMO</t>
  </si>
  <si>
    <t>Costruzione di impalcato di sostegno per dispositivo di scarico di materiali di risulta con tubone in pvc a norma, diretto su automezzo di trasporto, più divisorio temporaneo di protezione al piano terra per le polveri ed eventuali schegge di materiali durante le operazioni di scarico, con operazione di spruzzamento di acqua se necessaria durante le operazioni di carico su automezzo, ivi comprese le protezioni del muro di appoggio dello stesso dispositivo di scarico.</t>
  </si>
  <si>
    <t>Trattamento su pietre  poste a rivestimento dei pilastri esterni o sostituzione delle pietre esistenti con nuove dello stesso tipo, colore, spessore e finitura.</t>
  </si>
  <si>
    <t>Formazione di rampa di accesso con pianerottolo di arrivo ad altezza di circa 80 cm da terra, per persone diversamente abili (pendenza max 8%) in struttura metallica posta su pilastrini metallisci su plinti in c.a. opportunamente dimensionati, ivi compresa la ringhiera metallica completa di parapetto a norma, griglia tipo orsogrill a pavimento, risistemazione della pavimentazione attuale esterna sotto rampa dopo l'esecuzione dei plinti, ed ogni altro onere ed accessorio per dare la stessa completa a perfetta regola d'arte.(vedi tavole grafiche)</t>
  </si>
  <si>
    <t>BALCONE  P.T. PER FORMAZIONE RAMPA</t>
  </si>
  <si>
    <t xml:space="preserve">Assistenze murarie alla posa di porta in legno con falso telaio. </t>
  </si>
  <si>
    <t xml:space="preserve">Assistenza alla posa in opera di solo falsostipite su porte. </t>
  </si>
  <si>
    <t xml:space="preserve">OPERE DA SERRAMENTISTA </t>
  </si>
  <si>
    <t>Fornitura e posa di livellina  da porre sopra massetto prima della posa delle pavimentazioni a sacchi (5 mq a sacco) PIANI TERRA E PRIMO</t>
  </si>
  <si>
    <t>Pavimento in gres porcellanato posato con collante su apposito massetto, con piastrelle 30x60 o 60x60 cm. a due tinte, e finitura levigata o semilevigata (schede da sottoporre alla d.l.), ivi comprese le formazioni di giunti di dilatazione (con modelli da sottoporre alla D.L.) inseriti ogni __metri, da posizionare secondo disegni e con inserimento di inserti a tema prestabiliti da D.L.</t>
  </si>
  <si>
    <t>IMPIANTO TERMOSANITARIO</t>
  </si>
  <si>
    <t>Ricerca di tubazione fino alla colonna montante più vicina</t>
  </si>
  <si>
    <t>Fornitura e posa di punto acqua ivi compreso isolamento, senza apparecchio termosifone e con valvola detentore</t>
  </si>
  <si>
    <t>Fornitura e posa in opera di collettori previo verifica per il bilanciamento delle colonne montanti</t>
  </si>
  <si>
    <t xml:space="preserve">Barilotti di sfogo aria automatici per colonna montante </t>
  </si>
  <si>
    <t>Formazione di punti acqua compreso materiale e manodopera fino ad intercettazione /scarico alle colonne montanti</t>
  </si>
  <si>
    <t>lavabi ambulatori terra e primo  5+10</t>
  </si>
  <si>
    <t>lavabi e wc terra e primo  15+23</t>
  </si>
  <si>
    <t>Assistenza muraria alla posa di rivestimenti in piastrelle</t>
  </si>
  <si>
    <t>Unità Esterne a pompa di calore per impianto tipo VRF denominate nei grafici M3 e M4</t>
  </si>
  <si>
    <t>Giunto frigorifero tipo a Y necessario per collegare due unità esterne Multi V II a pompa di calore</t>
  </si>
  <si>
    <t>Griglia per unità interna cassetta quattro vie modelli descritti alla voce precedente.</t>
  </si>
  <si>
    <t>Giunto Frigorifero ad Y da inserire su ogni snodo delle canalizzazioni di alimentazione delle unità interne precedentemente descritte.</t>
  </si>
  <si>
    <t xml:space="preserve">Funzione opzionale  "Web schedule" per centralina di cui al modello descritto alla voce precedente </t>
  </si>
  <si>
    <t xml:space="preserve">Realizzazione impianti di distribuzione come da progetto allegato, cablatura, saldatura….. </t>
  </si>
  <si>
    <r>
      <t>Unità interne a cassetta 4 vie per installazione a controsoffitto per sistema MULTI V</t>
    </r>
    <r>
      <rPr>
        <b/>
        <sz val="8"/>
        <rFont val="Arial"/>
        <family val="2"/>
      </rPr>
      <t xml:space="preserve"> </t>
    </r>
    <r>
      <rPr>
        <sz val="8"/>
        <rFont val="Arial"/>
        <family val="2"/>
      </rPr>
      <t>ad  R410A modelli denominati sui grafici C1, C2, C3, C4, ecc.</t>
    </r>
  </si>
  <si>
    <t>Controllo centralizzato per impianto eseguito con componenti descritti alle precedenti voci, con monitor a colori touch screen 7" ………</t>
  </si>
  <si>
    <t>Recuperatore di calore entalpico a flussi incrociati - Ventilatori con motore elettrico ….</t>
  </si>
  <si>
    <t>Comando individuale a filo con retroilluminazione del display ….</t>
  </si>
  <si>
    <t>Realizzazione nuovo Centro Medico Legale dell'Area Metropolitana Milanese</t>
  </si>
  <si>
    <t>PIANI TERRA E PRIMO per servizi eliminati (n.47+63) x 5m di distanza</t>
  </si>
  <si>
    <t>PIANO TERRA opaca  satinata bagni</t>
  </si>
  <si>
    <t>PIANO PRIMO opaca satinata bagni</t>
  </si>
  <si>
    <t>Relazione acustica stilata da tecnico abilitato per requisiti acustici dei locali , da consegnare in asl</t>
  </si>
  <si>
    <t>Pellicole di sicurezza su vetri esterni posate in opera ivi compreso ogni accorgimento per il posizionamento delle stesse.</t>
  </si>
  <si>
    <t>Intonaco completo a civile o a gesso per interni su superfici orizzontali  e verticali ivi compresi paraspigoli in metallo, compreso gli occorrenti ponteggi, fino a mt.4,00 di altezza dei locali, su rustico in malta di cemento o direttamente su pareti interne in laterizio o similari.</t>
  </si>
  <si>
    <t>Formazione di struttura metallica di base per le nuove macchine frigorifere, poste in copertura al piano quinto dell'edificio, previo intercettazione dei quattro pilastri sottostanti per formazioni di appoggi per la stessa struttura, tramite elementi metallici su piastre di base. La struttura superiore sarà costituita da travi IPE sulle quali poggeranno traversi di dimensioni minori fissati alle prime con bulloni e piastre angolari, più griglia superiore elettroforgiata anch’essa fissata, sulla quale poggeranno le macchine refrigeranti. I quattro pilastrini avranno altezza superiore a 15 cm dal piano della terrazza. Sono altresì comprese tutte le operazioni necessarie alla intercettazione delle strutture sottostanti, in modo da non compromettere le strutture esistenti e l'impermeabilizzazione della terrazza.</t>
  </si>
  <si>
    <t>Fornitura e posa di tubazioni da 3 pollici per formazione di impianto di alimentazione degli idranti antincendio posti ai piani interrato, terra e primo dell'edificio nelle zone di interesse dei nostri uffici</t>
  </si>
  <si>
    <t>Raccorderia e staffe di fissaggio delle canalizzazioni di cui alla voce precedente per l'intero percorso effettuato</t>
  </si>
  <si>
    <t>Mano dopera per esecuzione dell'impianto idrico antincendio prima descritto (almeno due persone per 14 giorni lavorativi)</t>
  </si>
  <si>
    <t>ora</t>
  </si>
  <si>
    <t>Fornitura e posa di idranti completi di accessori, cartellonistica, ecc. a norma vigente</t>
  </si>
  <si>
    <t xml:space="preserve">Formazione di impianto antincendio in sala pompe , compreso di ogni elemento accessorio (valvole, ecc.) per dare l'impianto completo e funzionante in ogni sua parte, pronto da collaudare con prove </t>
  </si>
  <si>
    <t>VETRATA  PIANO 1°</t>
  </si>
  <si>
    <t>AVVOLGIBILI in pvc  antiurto       peso kg. 7  x mq.   misurazione minima  mq. 1,8</t>
  </si>
  <si>
    <t xml:space="preserve">Supplemento x inserimento in vetrina fissa di n. 1 porta ad un battente  da cm 90 / 100 completa di :Cerniere di tipo maggiorato Serratura di sicurezza a tre punti di chiusura Maniglione  in acciaio satinato  interasse cm. 30       compreso chiudiporta aereo  ed eventuali lamiere sagomate in alluminio posizionate all’esterno  come copertura  tra infisso  e guida serranda  ( solo se vengono sostituite le serrande )      </t>
  </si>
  <si>
    <t xml:space="preserve">SOPRALUCI  SOPRA CASSONETTI. Suddivisi in due / tre  specchiature apribili a wasistas    </t>
  </si>
  <si>
    <t xml:space="preserve">Motoriduttori  x apertura  wasistas      escluso collegamenti elettrici                                                                     </t>
  </si>
  <si>
    <t xml:space="preserve">Rivestimenti di cassonetti in alluminio piegato e saldato con antello di ispezione,coibentati internamente e preverniciati   tinta ral  altezza cm. 40 -50        </t>
  </si>
  <si>
    <t xml:space="preserve">KIT   ACCESSORI  X AVVOLGIBILI Cuscinetti  a sfera Rullo completo di puleggia e calotta Avvolgitore + cintino       </t>
  </si>
  <si>
    <t>kg</t>
  </si>
  <si>
    <t>Maniglioni antipanico su porte ad un'anta, tipo chiuso ed in aderenza alla porta</t>
  </si>
  <si>
    <t>Maniglioni antipanico su porte a due ante, tipo chiuso ed in aderenza alla porta</t>
  </si>
  <si>
    <t>PAVIMENTI BAGNI - AMBULATORI e PALESTRA PIANO PRIMO</t>
  </si>
  <si>
    <t>DETRAZIONE PAVIMENTI BAGNI e PALESTRA PIANO PRIMO</t>
  </si>
  <si>
    <t>DEMOLIZIONE muri interni Escluso carico su mezzo e discarica</t>
  </si>
  <si>
    <t>PIANO PRIMO muri interni H11</t>
  </si>
  <si>
    <t>PIANO PRIMO muri interni H13</t>
  </si>
  <si>
    <t>ALLARGAMENTO VANO PORTA ESTERNA</t>
  </si>
  <si>
    <t>APERTURA PORTA SOPRA SCALA INTERNA</t>
  </si>
  <si>
    <t>VANO PORTA SU SCALA CONDOMINIALE</t>
  </si>
  <si>
    <t>LAVORI: LOTTO 1</t>
  </si>
  <si>
    <t>AREA 6,46+6,68</t>
  </si>
  <si>
    <t>AREA 6,46+6,64</t>
  </si>
  <si>
    <t>pt</t>
  </si>
  <si>
    <t>VETRATE GRANDI N.2 hm=4,10m</t>
  </si>
  <si>
    <t>P1^</t>
  </si>
  <si>
    <t>VETRINE INTERNE</t>
  </si>
  <si>
    <t xml:space="preserve">VETRATE GRANDI N.1 </t>
  </si>
  <si>
    <t>t</t>
  </si>
  <si>
    <t>CORRISPETTIVO a discariche autorizzate (mat. NON Class. Terra bianca 1000 kg/mc)</t>
  </si>
  <si>
    <t>CORRISPETTIVO a discariche autorizzate (mat. Class. Terra bianca 2000 kg/mc)</t>
  </si>
  <si>
    <t>gg</t>
  </si>
  <si>
    <t>IMPORTO TOTALE LAVORI iva esclusa</t>
  </si>
  <si>
    <t>RIMOZIONE di vecchia rete di scarico servizi e di adduzione acqua fredda e calda fino alle colonne montanti, compreso abbassamento al piano di carico , escluso carico e trasporto alle discariche (6 giorni in coppia)</t>
  </si>
  <si>
    <t>Fornitura e posa di vetrate di ingresso,altezza terra-tetto, complete di n.4 porte a doppia anta e vetri antisfondamento di cui due scorrevoli a sfondamento, munite di dispositivo antipanico, automatismi di apertura con fotocellula, complete di ogni accessorio oltre che di applicazioni adesive con logo INPS secondo disegni ed indicazioni fornite dalla D.L., tutto completo e funzionante a regola d'arte, sarà compreso anche la formazione di cassone in cartongesso a chiusura superiore del filtro formato con inserimento di appositi faretti per l'illuminazione dello stesso. La fornitura comprende la formazione di struttura metallica terra-tetto con quadralini  100x100 cavi ad ogni angolo del vano formato ad ulteriore supporto di tutta la vetrata, porte comprese.</t>
  </si>
  <si>
    <t xml:space="preserve">Inserimento di circolatori ausiliari a portata variabile (uno per ogni unità) per prevedere l’installazione delle macchine a tetto </t>
  </si>
  <si>
    <t>NOLO di ponteggio interno eseguito con materiale esistente in cantiere per altezza del vano fino a 4 metri,compresi sfrido..fino a 60 giorni per smontaggio impianti alti e controsoffitti</t>
  </si>
  <si>
    <t>TRASPORTO di materiali di qualsiasi naturadall'interno all'esterno del fabbricato a mezzo di secchi o carriole, compreso carico e scarico a mano</t>
  </si>
  <si>
    <t>PIANO PRIMO  B3</t>
  </si>
  <si>
    <t>PIANO PRIMO  B4</t>
  </si>
  <si>
    <t>PIANO PRIMO  B5</t>
  </si>
  <si>
    <t>GRUPPO B1</t>
  </si>
  <si>
    <t>GRUPPO B4</t>
  </si>
  <si>
    <t>GRUPPO B3</t>
  </si>
  <si>
    <t>GRUPPO B2</t>
  </si>
  <si>
    <t>GRUPPO B5</t>
  </si>
  <si>
    <t>Fornitura in opera di zoccolino a pavimento in legno o in alluminio colore acciaio inox semi lucido, assicurato con sistemi ad incastro o in alternativa con viti e tasselli ad espansione opportunamente celati o con colla a caldo: da 70 x 10 mm. a 80 x 12 mm. (eff.ml ___) con scheda tecnica da sottoporre alla D.L.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</si>
</sst>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quot;L.&quot;\ #,##0"/>
    <numFmt numFmtId="166" formatCode="0.000"/>
    <numFmt numFmtId="167" formatCode="[$€-2]\ #,##0.00"/>
    <numFmt numFmtId="168" formatCode="#,##0.000"/>
    <numFmt numFmtId="169" formatCode="&quot;€&quot;\ #,##0.00"/>
    <numFmt numFmtId="170" formatCode="#,##0.0"/>
    <numFmt numFmtId="171" formatCode="0.0"/>
    <numFmt numFmtId="172" formatCode="_-[$€-410]\ * #,##0.00_-;\-[$€-410]\ * #,##0.00_-;_-[$€-410]\ * &quot;-&quot;??_-;_-@_-"/>
    <numFmt numFmtId="173" formatCode="&quot;Sì&quot;;&quot;Sì&quot;;&quot;No&quot;"/>
    <numFmt numFmtId="174" formatCode="&quot;Vero&quot;;&quot;Vero&quot;;&quot;Falso&quot;"/>
    <numFmt numFmtId="175" formatCode="&quot;Attivo&quot;;&quot;Attivo&quot;;&quot;Disattivo&quot;"/>
    <numFmt numFmtId="176" formatCode="[$€-2]\ #.##000_);[Red]\([$€-2]\ #.##000\)"/>
  </numFmts>
  <fonts count="54">
    <font>
      <sz val="10"/>
      <name val="Arial"/>
      <family val="0"/>
    </font>
    <font>
      <sz val="11"/>
      <color indexed="8"/>
      <name val="Calibri"/>
      <family val="2"/>
    </font>
    <font>
      <sz val="8"/>
      <name val="Arial"/>
      <family val="2"/>
    </font>
    <font>
      <b/>
      <sz val="8"/>
      <name val="Arial"/>
      <family val="2"/>
    </font>
    <font>
      <b/>
      <sz val="10"/>
      <name val="Arial"/>
      <family val="2"/>
    </font>
    <font>
      <sz val="8"/>
      <color indexed="10"/>
      <name val="Arial"/>
      <family val="2"/>
    </font>
    <font>
      <b/>
      <sz val="8"/>
      <color indexed="48"/>
      <name val="Arial"/>
      <family val="2"/>
    </font>
    <font>
      <b/>
      <sz val="8"/>
      <color indexed="12"/>
      <name val="Arial"/>
      <family val="2"/>
    </font>
    <font>
      <b/>
      <sz val="12"/>
      <name val="Arial"/>
      <family val="2"/>
    </font>
    <font>
      <sz val="14"/>
      <color indexed="12"/>
      <name val="Arial"/>
      <family val="2"/>
    </font>
    <font>
      <sz val="8"/>
      <color indexed="50"/>
      <name val="Arial"/>
      <family val="2"/>
    </font>
    <font>
      <b/>
      <sz val="10"/>
      <color indexed="12"/>
      <name val="Arial"/>
      <family val="2"/>
    </font>
    <font>
      <b/>
      <sz val="8"/>
      <color indexed="50"/>
      <name val="Arial"/>
      <family val="2"/>
    </font>
    <font>
      <b/>
      <sz val="8"/>
      <color indexed="10"/>
      <name val="Arial"/>
      <family val="2"/>
    </font>
    <font>
      <b/>
      <sz val="14"/>
      <name val="Arial"/>
      <family val="2"/>
    </font>
    <font>
      <b/>
      <sz val="10"/>
      <color indexed="10"/>
      <name val="Arial"/>
      <family val="2"/>
    </font>
    <font>
      <sz val="8"/>
      <color indexed="12"/>
      <name val="Arial"/>
      <family val="2"/>
    </font>
    <font>
      <sz val="11"/>
      <name val="Calibri"/>
      <family val="2"/>
    </font>
    <font>
      <b/>
      <sz val="12"/>
      <color indexed="12"/>
      <name val="Arial"/>
      <family val="2"/>
    </font>
    <font>
      <b/>
      <sz val="10"/>
      <color indexed="17"/>
      <name val="Arial"/>
      <family val="2"/>
    </font>
    <font>
      <sz val="11"/>
      <name val="Arial"/>
      <family val="2"/>
    </font>
    <font>
      <sz val="8"/>
      <color indexed="8"/>
      <name val="Arial"/>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style="thin"/>
      <right style="thin"/>
      <top/>
      <bottom style="thin"/>
    </border>
    <border>
      <left style="thin"/>
      <right style="thin"/>
      <top style="thin"/>
      <bottom style="medium"/>
    </border>
    <border>
      <left style="thin"/>
      <right style="thin"/>
      <top/>
      <bottom style="medium"/>
    </border>
    <border>
      <left style="thin"/>
      <right style="thin"/>
      <top/>
      <bottom/>
    </border>
    <border>
      <left/>
      <right style="thin"/>
      <top style="thin"/>
      <bottom style="thin"/>
    </border>
    <border>
      <left/>
      <right/>
      <top style="thin"/>
      <bottom/>
    </border>
    <border>
      <left style="thin"/>
      <right/>
      <top style="thin"/>
      <bottom style="thin"/>
    </border>
    <border>
      <left style="thin"/>
      <right style="thin"/>
      <top style="medium"/>
      <bottom/>
    </border>
    <border>
      <left/>
      <right/>
      <top/>
      <bottom style="medium"/>
    </border>
    <border>
      <left style="thin"/>
      <right style="thin"/>
      <top style="medium"/>
      <bottom style="thin"/>
    </border>
    <border>
      <left style="thin"/>
      <right/>
      <top>
        <color indexed="63"/>
      </top>
      <bottom style="thin"/>
    </border>
    <border>
      <left/>
      <right style="thin"/>
      <top style="thin"/>
      <bottom style="medium"/>
    </border>
    <border>
      <left style="thin"/>
      <right>
        <color indexed="63"/>
      </right>
      <top style="thin"/>
      <bottom/>
    </border>
    <border>
      <left/>
      <right style="thin"/>
      <top style="thin"/>
      <bottom/>
    </border>
    <border>
      <left/>
      <right/>
      <top>
        <color indexed="63"/>
      </top>
      <bottom style="thin"/>
    </border>
    <border>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64"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4">
    <xf numFmtId="0" fontId="0" fillId="0" borderId="0" xfId="0" applyAlignment="1">
      <alignment/>
    </xf>
    <xf numFmtId="0" fontId="2" fillId="0" borderId="0" xfId="0" applyFont="1" applyAlignment="1">
      <alignment/>
    </xf>
    <xf numFmtId="0" fontId="2" fillId="0" borderId="10" xfId="0" applyFont="1" applyBorder="1" applyAlignment="1">
      <alignment/>
    </xf>
    <xf numFmtId="4" fontId="2" fillId="0" borderId="10" xfId="0" applyNumberFormat="1" applyFont="1" applyBorder="1" applyAlignment="1">
      <alignment/>
    </xf>
    <xf numFmtId="3" fontId="2" fillId="0" borderId="1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3" fontId="2" fillId="0" borderId="11" xfId="0" applyNumberFormat="1" applyFont="1" applyBorder="1" applyAlignment="1">
      <alignment/>
    </xf>
    <xf numFmtId="0" fontId="2" fillId="0" borderId="0" xfId="0" applyFont="1" applyBorder="1" applyAlignment="1">
      <alignment/>
    </xf>
    <xf numFmtId="4" fontId="2" fillId="0" borderId="10" xfId="0" applyNumberFormat="1" applyFont="1" applyFill="1" applyBorder="1" applyAlignment="1">
      <alignment/>
    </xf>
    <xf numFmtId="4" fontId="2" fillId="0" borderId="11" xfId="0" applyNumberFormat="1" applyFont="1" applyFill="1" applyBorder="1" applyAlignment="1">
      <alignment/>
    </xf>
    <xf numFmtId="4" fontId="2" fillId="34" borderId="10" xfId="0" applyNumberFormat="1" applyFont="1" applyFill="1" applyBorder="1" applyAlignment="1">
      <alignment/>
    </xf>
    <xf numFmtId="0" fontId="2" fillId="35" borderId="10" xfId="0" applyFont="1" applyFill="1" applyBorder="1" applyAlignment="1">
      <alignment/>
    </xf>
    <xf numFmtId="0" fontId="2" fillId="35" borderId="10" xfId="0" applyFont="1" applyFill="1" applyBorder="1" applyAlignment="1">
      <alignment wrapText="1"/>
    </xf>
    <xf numFmtId="165" fontId="2" fillId="0" borderId="0" xfId="0" applyNumberFormat="1" applyFont="1" applyAlignment="1">
      <alignment/>
    </xf>
    <xf numFmtId="2" fontId="3" fillId="36" borderId="10" xfId="0" applyNumberFormat="1" applyFont="1" applyFill="1" applyBorder="1" applyAlignment="1">
      <alignment/>
    </xf>
    <xf numFmtId="2" fontId="3" fillId="0" borderId="0" xfId="0" applyNumberFormat="1" applyFont="1" applyAlignment="1">
      <alignment/>
    </xf>
    <xf numFmtId="2" fontId="2" fillId="36" borderId="10" xfId="0" applyNumberFormat="1" applyFont="1" applyFill="1" applyBorder="1" applyAlignment="1">
      <alignment horizontal="center"/>
    </xf>
    <xf numFmtId="2" fontId="2" fillId="0" borderId="0" xfId="0" applyNumberFormat="1" applyFont="1" applyAlignment="1">
      <alignment horizontal="center"/>
    </xf>
    <xf numFmtId="2" fontId="3" fillId="0" borderId="12" xfId="0" applyNumberFormat="1" applyFont="1" applyBorder="1" applyAlignment="1">
      <alignment horizontal="center" vertical="center" wrapText="1"/>
    </xf>
    <xf numFmtId="2" fontId="2" fillId="0" borderId="10"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2" fontId="2" fillId="33" borderId="10" xfId="0" applyNumberFormat="1" applyFont="1" applyFill="1" applyBorder="1" applyAlignment="1">
      <alignment/>
    </xf>
    <xf numFmtId="2" fontId="3" fillId="36" borderId="13" xfId="0" applyNumberFormat="1" applyFont="1" applyFill="1" applyBorder="1" applyAlignment="1">
      <alignment/>
    </xf>
    <xf numFmtId="2" fontId="5" fillId="0" borderId="10" xfId="0" applyNumberFormat="1" applyFont="1" applyBorder="1" applyAlignment="1">
      <alignment/>
    </xf>
    <xf numFmtId="2" fontId="2" fillId="0" borderId="10" xfId="0" applyNumberFormat="1" applyFont="1" applyFill="1" applyBorder="1" applyAlignment="1">
      <alignment/>
    </xf>
    <xf numFmtId="2" fontId="4" fillId="33" borderId="13" xfId="0" applyNumberFormat="1" applyFont="1" applyFill="1" applyBorder="1" applyAlignment="1">
      <alignment horizontal="center" vertical="center" textRotation="90" wrapText="1"/>
    </xf>
    <xf numFmtId="2" fontId="4" fillId="0" borderId="13" xfId="0" applyNumberFormat="1" applyFont="1" applyBorder="1" applyAlignment="1">
      <alignment horizontal="center" vertical="center" textRotation="90" wrapText="1"/>
    </xf>
    <xf numFmtId="165" fontId="4" fillId="37" borderId="13" xfId="0" applyNumberFormat="1" applyFont="1" applyFill="1" applyBorder="1" applyAlignment="1">
      <alignment horizontal="center" vertical="center" wrapText="1"/>
    </xf>
    <xf numFmtId="0" fontId="0" fillId="0" borderId="0" xfId="0" applyAlignment="1">
      <alignment/>
    </xf>
    <xf numFmtId="0" fontId="0" fillId="0" borderId="0" xfId="0" applyFill="1" applyAlignment="1">
      <alignment/>
    </xf>
    <xf numFmtId="2" fontId="2" fillId="0" borderId="0" xfId="0" applyNumberFormat="1" applyFont="1" applyBorder="1" applyAlignment="1">
      <alignment horizontal="center"/>
    </xf>
    <xf numFmtId="165" fontId="2" fillId="0" borderId="0" xfId="0" applyNumberFormat="1" applyFont="1" applyBorder="1" applyAlignment="1">
      <alignment/>
    </xf>
    <xf numFmtId="0" fontId="4" fillId="0" borderId="0" xfId="0" applyFont="1" applyAlignment="1">
      <alignment horizontal="center"/>
    </xf>
    <xf numFmtId="2" fontId="3" fillId="36" borderId="14" xfId="0" applyNumberFormat="1" applyFont="1" applyFill="1" applyBorder="1" applyAlignment="1">
      <alignment/>
    </xf>
    <xf numFmtId="0" fontId="2" fillId="35" borderId="11" xfId="0" applyFont="1" applyFill="1" applyBorder="1" applyAlignment="1">
      <alignment horizontal="center" vertical="center" wrapText="1"/>
    </xf>
    <xf numFmtId="4" fontId="2" fillId="36" borderId="10" xfId="0" applyNumberFormat="1" applyFont="1" applyFill="1" applyBorder="1" applyAlignment="1">
      <alignment horizontal="center"/>
    </xf>
    <xf numFmtId="4" fontId="2" fillId="34" borderId="13" xfId="0" applyNumberFormat="1" applyFont="1" applyFill="1" applyBorder="1" applyAlignment="1">
      <alignment/>
    </xf>
    <xf numFmtId="2" fontId="10" fillId="0" borderId="10" xfId="0" applyNumberFormat="1" applyFont="1" applyBorder="1" applyAlignment="1">
      <alignment/>
    </xf>
    <xf numFmtId="2" fontId="2" fillId="33" borderId="10" xfId="0" applyNumberFormat="1" applyFont="1" applyFill="1" applyBorder="1" applyAlignment="1">
      <alignment/>
    </xf>
    <xf numFmtId="0" fontId="0" fillId="0" borderId="10" xfId="0" applyBorder="1" applyAlignment="1">
      <alignment/>
    </xf>
    <xf numFmtId="3" fontId="2" fillId="33" borderId="10" xfId="0" applyNumberFormat="1" applyFont="1" applyFill="1" applyBorder="1" applyAlignment="1">
      <alignment/>
    </xf>
    <xf numFmtId="0" fontId="6" fillId="0" borderId="10" xfId="0" applyFont="1" applyBorder="1" applyAlignment="1">
      <alignment horizontal="right"/>
    </xf>
    <xf numFmtId="0" fontId="6" fillId="0" borderId="11" xfId="0" applyFont="1" applyBorder="1" applyAlignment="1">
      <alignment horizontal="right"/>
    </xf>
    <xf numFmtId="0" fontId="4" fillId="36" borderId="13" xfId="0" applyFont="1" applyFill="1" applyBorder="1" applyAlignment="1">
      <alignment horizontal="center" vertical="center" textRotation="90" wrapText="1"/>
    </xf>
    <xf numFmtId="0" fontId="4" fillId="36" borderId="10" xfId="0" applyFont="1" applyFill="1" applyBorder="1" applyAlignment="1">
      <alignment horizontal="center"/>
    </xf>
    <xf numFmtId="0" fontId="6" fillId="0" borderId="10" xfId="0" applyFont="1" applyFill="1" applyBorder="1" applyAlignment="1">
      <alignment horizontal="right"/>
    </xf>
    <xf numFmtId="2" fontId="10" fillId="0" borderId="10" xfId="0" applyNumberFormat="1" applyFont="1" applyFill="1" applyBorder="1" applyAlignment="1">
      <alignment/>
    </xf>
    <xf numFmtId="0" fontId="4" fillId="35" borderId="10" xfId="0" applyFont="1" applyFill="1" applyBorder="1" applyAlignment="1">
      <alignment horizontal="center" vertical="justify" wrapText="1"/>
    </xf>
    <xf numFmtId="0" fontId="2" fillId="35" borderId="10" xfId="0" applyFont="1" applyFill="1" applyBorder="1" applyAlignment="1">
      <alignment vertical="justify" wrapText="1"/>
    </xf>
    <xf numFmtId="0" fontId="2" fillId="35" borderId="10" xfId="0" applyFont="1" applyFill="1" applyBorder="1" applyAlignment="1">
      <alignment horizontal="center" vertical="justify" wrapText="1"/>
    </xf>
    <xf numFmtId="0" fontId="8" fillId="35" borderId="10" xfId="0" applyFont="1" applyFill="1" applyBorder="1" applyAlignment="1">
      <alignment horizontal="center" vertical="justify" wrapText="1"/>
    </xf>
    <xf numFmtId="0" fontId="2" fillId="0" borderId="0" xfId="0" applyFont="1" applyAlignment="1">
      <alignment vertical="justify" wrapText="1"/>
    </xf>
    <xf numFmtId="0" fontId="2" fillId="35" borderId="10" xfId="0" applyFont="1" applyFill="1" applyBorder="1" applyAlignment="1">
      <alignment horizontal="justify" vertical="justify" wrapText="1"/>
    </xf>
    <xf numFmtId="0" fontId="2" fillId="35"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3" fontId="12" fillId="33" borderId="10" xfId="0" applyNumberFormat="1" applyFont="1" applyFill="1" applyBorder="1" applyAlignment="1">
      <alignment/>
    </xf>
    <xf numFmtId="3" fontId="2" fillId="34" borderId="10" xfId="0" applyNumberFormat="1" applyFont="1" applyFill="1" applyBorder="1" applyAlignment="1">
      <alignment/>
    </xf>
    <xf numFmtId="167" fontId="2" fillId="37" borderId="10" xfId="0" applyNumberFormat="1" applyFont="1" applyFill="1" applyBorder="1" applyAlignment="1">
      <alignment/>
    </xf>
    <xf numFmtId="167" fontId="2" fillId="0" borderId="10" xfId="0" applyNumberFormat="1" applyFont="1" applyFill="1" applyBorder="1" applyAlignment="1">
      <alignment/>
    </xf>
    <xf numFmtId="2" fontId="3" fillId="36" borderId="15" xfId="0" applyNumberFormat="1" applyFont="1" applyFill="1" applyBorder="1" applyAlignment="1">
      <alignment/>
    </xf>
    <xf numFmtId="1" fontId="10" fillId="33" borderId="10" xfId="0" applyNumberFormat="1" applyFont="1" applyFill="1" applyBorder="1" applyAlignment="1">
      <alignment/>
    </xf>
    <xf numFmtId="2" fontId="3" fillId="36" borderId="11" xfId="0" applyNumberFormat="1" applyFont="1" applyFill="1" applyBorder="1" applyAlignment="1">
      <alignment/>
    </xf>
    <xf numFmtId="167" fontId="2" fillId="37" borderId="11" xfId="0" applyNumberFormat="1" applyFont="1" applyFill="1" applyBorder="1" applyAlignment="1">
      <alignment/>
    </xf>
    <xf numFmtId="2" fontId="3" fillId="36" borderId="16" xfId="0" applyNumberFormat="1" applyFont="1" applyFill="1" applyBorder="1" applyAlignment="1">
      <alignment/>
    </xf>
    <xf numFmtId="0" fontId="0" fillId="0" borderId="17" xfId="0" applyFill="1" applyBorder="1" applyAlignment="1">
      <alignment horizontal="right"/>
    </xf>
    <xf numFmtId="0" fontId="2" fillId="35" borderId="10" xfId="0" applyFont="1" applyFill="1" applyBorder="1" applyAlignment="1">
      <alignment horizontal="justify" vertical="center" wrapText="1"/>
    </xf>
    <xf numFmtId="2" fontId="3" fillId="36" borderId="10" xfId="0" applyNumberFormat="1" applyFont="1" applyFill="1" applyBorder="1" applyAlignment="1">
      <alignment horizontal="right"/>
    </xf>
    <xf numFmtId="0" fontId="0" fillId="36" borderId="13" xfId="0" applyFont="1" applyFill="1" applyBorder="1" applyAlignment="1">
      <alignment horizontal="center" wrapText="1"/>
    </xf>
    <xf numFmtId="0" fontId="2" fillId="35" borderId="11" xfId="0" applyFont="1" applyFill="1" applyBorder="1" applyAlignment="1">
      <alignment horizontal="justify" vertical="justify" wrapText="1"/>
    </xf>
    <xf numFmtId="4" fontId="2" fillId="36" borderId="10" xfId="0" applyNumberFormat="1" applyFont="1" applyFill="1" applyBorder="1" applyAlignment="1">
      <alignment horizontal="right"/>
    </xf>
    <xf numFmtId="4" fontId="2" fillId="0" borderId="11" xfId="0" applyNumberFormat="1" applyFont="1" applyBorder="1" applyAlignment="1">
      <alignment/>
    </xf>
    <xf numFmtId="0" fontId="2" fillId="0" borderId="0" xfId="0" applyFont="1" applyFill="1" applyAlignment="1">
      <alignment/>
    </xf>
    <xf numFmtId="4" fontId="2" fillId="33" borderId="14" xfId="0" applyNumberFormat="1" applyFont="1" applyFill="1" applyBorder="1" applyAlignment="1">
      <alignment/>
    </xf>
    <xf numFmtId="4" fontId="3" fillId="33" borderId="13" xfId="0" applyNumberFormat="1" applyFont="1" applyFill="1" applyBorder="1" applyAlignment="1">
      <alignment/>
    </xf>
    <xf numFmtId="4" fontId="2" fillId="0" borderId="13" xfId="0" applyNumberFormat="1" applyFont="1" applyBorder="1" applyAlignment="1">
      <alignment/>
    </xf>
    <xf numFmtId="0" fontId="2" fillId="35" borderId="10" xfId="0" applyNumberFormat="1" applyFont="1" applyFill="1" applyBorder="1" applyAlignment="1">
      <alignment horizontal="justify" vertical="top" wrapText="1"/>
    </xf>
    <xf numFmtId="0" fontId="2" fillId="35" borderId="10" xfId="0" applyNumberFormat="1" applyFont="1" applyFill="1" applyBorder="1" applyAlignment="1">
      <alignment horizontal="right" vertical="top" wrapText="1"/>
    </xf>
    <xf numFmtId="2" fontId="12" fillId="36" borderId="10" xfId="0" applyNumberFormat="1" applyFont="1" applyFill="1" applyBorder="1" applyAlignment="1">
      <alignment/>
    </xf>
    <xf numFmtId="4" fontId="2" fillId="36" borderId="11" xfId="0" applyNumberFormat="1" applyFont="1" applyFill="1" applyBorder="1" applyAlignment="1">
      <alignment horizontal="right"/>
    </xf>
    <xf numFmtId="0" fontId="2" fillId="35" borderId="11" xfId="0" applyFont="1" applyFill="1" applyBorder="1" applyAlignment="1">
      <alignment horizontal="justify" vertical="center" wrapText="1"/>
    </xf>
    <xf numFmtId="0" fontId="2" fillId="35" borderId="10" xfId="0" applyNumberFormat="1" applyFont="1" applyFill="1" applyBorder="1" applyAlignment="1">
      <alignment horizontal="left" vertical="top" wrapText="1"/>
    </xf>
    <xf numFmtId="0" fontId="2" fillId="35" borderId="13" xfId="0" applyNumberFormat="1" applyFont="1" applyFill="1" applyBorder="1" applyAlignment="1">
      <alignment horizontal="justify" vertical="top" wrapText="1"/>
    </xf>
    <xf numFmtId="0" fontId="2" fillId="35" borderId="11" xfId="0" applyNumberFormat="1" applyFont="1" applyFill="1" applyBorder="1" applyAlignment="1">
      <alignment horizontal="right" vertical="top" wrapText="1"/>
    </xf>
    <xf numFmtId="2" fontId="2" fillId="36" borderId="10" xfId="0" applyNumberFormat="1" applyFont="1" applyFill="1" applyBorder="1" applyAlignment="1">
      <alignment horizontal="right" wrapText="1"/>
    </xf>
    <xf numFmtId="0" fontId="6" fillId="0" borderId="0" xfId="0" applyFont="1" applyBorder="1" applyAlignment="1">
      <alignment horizontal="right"/>
    </xf>
    <xf numFmtId="0" fontId="6" fillId="0" borderId="13" xfId="0" applyFont="1" applyBorder="1" applyAlignment="1">
      <alignment horizontal="right" vertical="center" textRotation="90" wrapText="1"/>
    </xf>
    <xf numFmtId="0" fontId="6" fillId="0" borderId="18" xfId="0" applyFont="1" applyBorder="1" applyAlignment="1">
      <alignment horizontal="right"/>
    </xf>
    <xf numFmtId="0" fontId="6" fillId="0" borderId="0" xfId="0" applyFont="1" applyAlignment="1">
      <alignment horizontal="right"/>
    </xf>
    <xf numFmtId="2" fontId="3" fillId="0" borderId="0" xfId="0" applyNumberFormat="1" applyFont="1" applyBorder="1" applyAlignment="1">
      <alignment/>
    </xf>
    <xf numFmtId="2" fontId="3" fillId="36" borderId="10" xfId="0" applyNumberFormat="1" applyFont="1" applyFill="1" applyBorder="1" applyAlignment="1">
      <alignment horizontal="center" vertical="center"/>
    </xf>
    <xf numFmtId="0" fontId="2" fillId="35" borderId="13" xfId="0" applyFont="1" applyFill="1" applyBorder="1" applyAlignment="1">
      <alignment horizontal="justify" vertical="justify" wrapText="1"/>
    </xf>
    <xf numFmtId="2" fontId="2" fillId="0" borderId="11" xfId="0" applyNumberFormat="1" applyFont="1" applyBorder="1" applyAlignment="1">
      <alignment/>
    </xf>
    <xf numFmtId="0" fontId="2" fillId="0" borderId="0" xfId="0" applyFont="1" applyFill="1" applyBorder="1" applyAlignment="1">
      <alignment/>
    </xf>
    <xf numFmtId="2" fontId="2" fillId="36" borderId="11" xfId="0" applyNumberFormat="1" applyFont="1" applyFill="1" applyBorder="1" applyAlignment="1">
      <alignment horizontal="center"/>
    </xf>
    <xf numFmtId="167" fontId="2" fillId="0" borderId="11" xfId="0" applyNumberFormat="1" applyFont="1" applyFill="1" applyBorder="1" applyAlignment="1">
      <alignment/>
    </xf>
    <xf numFmtId="2" fontId="5" fillId="33" borderId="10" xfId="0" applyNumberFormat="1" applyFont="1" applyFill="1" applyBorder="1" applyAlignment="1">
      <alignment/>
    </xf>
    <xf numFmtId="2" fontId="5" fillId="36" borderId="10" xfId="0" applyNumberFormat="1" applyFont="1" applyFill="1" applyBorder="1" applyAlignment="1">
      <alignment horizontal="center"/>
    </xf>
    <xf numFmtId="167" fontId="5" fillId="0" borderId="10" xfId="0" applyNumberFormat="1" applyFont="1" applyFill="1" applyBorder="1" applyAlignment="1">
      <alignment/>
    </xf>
    <xf numFmtId="167" fontId="5" fillId="37" borderId="10" xfId="0" applyNumberFormat="1" applyFont="1" applyFill="1" applyBorder="1" applyAlignment="1">
      <alignment/>
    </xf>
    <xf numFmtId="0" fontId="5" fillId="0" borderId="0" xfId="0" applyFont="1" applyAlignment="1">
      <alignment/>
    </xf>
    <xf numFmtId="0" fontId="2" fillId="35" borderId="11" xfId="0" applyFont="1" applyFill="1" applyBorder="1" applyAlignment="1">
      <alignment vertical="center" wrapText="1"/>
    </xf>
    <xf numFmtId="2" fontId="2" fillId="33" borderId="11" xfId="0" applyNumberFormat="1" applyFont="1" applyFill="1" applyBorder="1" applyAlignment="1">
      <alignment/>
    </xf>
    <xf numFmtId="0" fontId="13" fillId="0" borderId="11" xfId="0" applyFont="1" applyBorder="1" applyAlignment="1">
      <alignment horizontal="right"/>
    </xf>
    <xf numFmtId="0" fontId="13" fillId="35" borderId="11" xfId="0" applyFont="1" applyFill="1" applyBorder="1" applyAlignment="1">
      <alignment horizontal="center" vertical="justify" wrapText="1"/>
    </xf>
    <xf numFmtId="2" fontId="13" fillId="36" borderId="13" xfId="0" applyNumberFormat="1" applyFont="1" applyFill="1" applyBorder="1" applyAlignment="1">
      <alignment/>
    </xf>
    <xf numFmtId="2" fontId="7" fillId="36" borderId="10" xfId="0" applyNumberFormat="1" applyFont="1" applyFill="1" applyBorder="1" applyAlignment="1">
      <alignment/>
    </xf>
    <xf numFmtId="2" fontId="7" fillId="36" borderId="14" xfId="0" applyNumberFormat="1" applyFont="1" applyFill="1" applyBorder="1" applyAlignment="1">
      <alignment/>
    </xf>
    <xf numFmtId="0" fontId="4" fillId="36" borderId="13" xfId="0" applyFont="1" applyFill="1" applyBorder="1" applyAlignment="1">
      <alignment horizontal="center"/>
    </xf>
    <xf numFmtId="0" fontId="6" fillId="0" borderId="13" xfId="0" applyFont="1" applyBorder="1" applyAlignment="1">
      <alignment horizontal="right"/>
    </xf>
    <xf numFmtId="2" fontId="2" fillId="33" borderId="13" xfId="0" applyNumberFormat="1" applyFont="1" applyFill="1" applyBorder="1" applyAlignment="1">
      <alignment/>
    </xf>
    <xf numFmtId="2" fontId="2" fillId="36" borderId="13" xfId="0" applyNumberFormat="1" applyFont="1" applyFill="1" applyBorder="1" applyAlignment="1">
      <alignment horizontal="center"/>
    </xf>
    <xf numFmtId="167" fontId="2" fillId="0" borderId="13" xfId="0" applyNumberFormat="1" applyFont="1" applyFill="1" applyBorder="1" applyAlignment="1">
      <alignment/>
    </xf>
    <xf numFmtId="167" fontId="2" fillId="37" borderId="13" xfId="0" applyNumberFormat="1" applyFont="1" applyFill="1" applyBorder="1" applyAlignment="1">
      <alignment/>
    </xf>
    <xf numFmtId="2" fontId="7" fillId="36" borderId="13" xfId="0" applyNumberFormat="1" applyFont="1" applyFill="1" applyBorder="1" applyAlignment="1">
      <alignment/>
    </xf>
    <xf numFmtId="0" fontId="3" fillId="0" borderId="10" xfId="0" applyFont="1" applyBorder="1" applyAlignment="1">
      <alignment horizontal="center" vertical="center" wrapText="1"/>
    </xf>
    <xf numFmtId="0" fontId="3" fillId="0" borderId="13" xfId="0" applyFont="1" applyBorder="1" applyAlignment="1">
      <alignment horizontal="right" wrapText="1"/>
    </xf>
    <xf numFmtId="2" fontId="2" fillId="0" borderId="19" xfId="0" applyNumberFormat="1" applyFont="1" applyFill="1" applyBorder="1" applyAlignment="1">
      <alignment horizontal="right"/>
    </xf>
    <xf numFmtId="0" fontId="3" fillId="0" borderId="16" xfId="0" applyFont="1" applyBorder="1" applyAlignment="1">
      <alignment horizontal="center" vertical="center" wrapText="1"/>
    </xf>
    <xf numFmtId="0" fontId="2" fillId="35" borderId="16" xfId="0" applyFont="1" applyFill="1" applyBorder="1" applyAlignment="1">
      <alignment horizontal="center" vertical="center" wrapText="1"/>
    </xf>
    <xf numFmtId="2" fontId="2" fillId="33" borderId="19" xfId="0" applyNumberFormat="1" applyFont="1" applyFill="1" applyBorder="1" applyAlignment="1">
      <alignment horizontal="right"/>
    </xf>
    <xf numFmtId="0" fontId="2" fillId="35" borderId="11" xfId="0" applyFont="1" applyFill="1" applyBorder="1" applyAlignment="1">
      <alignment vertical="justify" wrapText="1"/>
    </xf>
    <xf numFmtId="2"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35" borderId="14" xfId="0" applyFont="1" applyFill="1" applyBorder="1" applyAlignment="1">
      <alignment horizontal="center" vertical="center" wrapText="1"/>
    </xf>
    <xf numFmtId="2" fontId="2" fillId="33" borderId="14" xfId="0" applyNumberFormat="1" applyFont="1" applyFill="1" applyBorder="1" applyAlignment="1">
      <alignment/>
    </xf>
    <xf numFmtId="2" fontId="2" fillId="0" borderId="14" xfId="0" applyNumberFormat="1" applyFont="1" applyBorder="1" applyAlignment="1">
      <alignment/>
    </xf>
    <xf numFmtId="2" fontId="2" fillId="36" borderId="14" xfId="0" applyNumberFormat="1" applyFont="1" applyFill="1" applyBorder="1" applyAlignment="1">
      <alignment horizontal="center"/>
    </xf>
    <xf numFmtId="2" fontId="3" fillId="36" borderId="20" xfId="0" applyNumberFormat="1" applyFont="1" applyFill="1" applyBorder="1" applyAlignment="1">
      <alignment/>
    </xf>
    <xf numFmtId="2" fontId="2" fillId="36" borderId="13" xfId="0" applyNumberFormat="1" applyFont="1" applyFill="1" applyBorder="1" applyAlignment="1">
      <alignment/>
    </xf>
    <xf numFmtId="2" fontId="2" fillId="36" borderId="15" xfId="0" applyNumberFormat="1" applyFont="1" applyFill="1" applyBorder="1" applyAlignment="1">
      <alignment/>
    </xf>
    <xf numFmtId="2" fontId="2" fillId="36" borderId="10" xfId="0" applyNumberFormat="1" applyFont="1" applyFill="1" applyBorder="1" applyAlignment="1">
      <alignment/>
    </xf>
    <xf numFmtId="2" fontId="2" fillId="36" borderId="14" xfId="0" applyNumberFormat="1" applyFont="1" applyFill="1" applyBorder="1" applyAlignment="1">
      <alignment/>
    </xf>
    <xf numFmtId="1" fontId="7" fillId="0" borderId="10" xfId="0" applyNumberFormat="1" applyFont="1" applyFill="1" applyBorder="1" applyAlignment="1">
      <alignment/>
    </xf>
    <xf numFmtId="0" fontId="8" fillId="35" borderId="13" xfId="0" applyFont="1" applyFill="1" applyBorder="1" applyAlignment="1">
      <alignment horizontal="center" vertical="justify" wrapText="1"/>
    </xf>
    <xf numFmtId="1" fontId="10" fillId="33" borderId="13" xfId="0" applyNumberFormat="1" applyFont="1" applyFill="1" applyBorder="1" applyAlignment="1">
      <alignment/>
    </xf>
    <xf numFmtId="2" fontId="2" fillId="0" borderId="13" xfId="0" applyNumberFormat="1" applyFont="1" applyFill="1" applyBorder="1" applyAlignment="1">
      <alignment/>
    </xf>
    <xf numFmtId="2" fontId="10" fillId="0" borderId="13" xfId="0" applyNumberFormat="1" applyFont="1" applyBorder="1" applyAlignment="1">
      <alignment/>
    </xf>
    <xf numFmtId="0" fontId="8" fillId="35" borderId="14" xfId="0" applyFont="1" applyFill="1" applyBorder="1" applyAlignment="1">
      <alignment horizontal="center" vertical="justify" wrapText="1"/>
    </xf>
    <xf numFmtId="1" fontId="10" fillId="33" borderId="14" xfId="0" applyNumberFormat="1" applyFont="1" applyFill="1" applyBorder="1" applyAlignment="1">
      <alignment/>
    </xf>
    <xf numFmtId="2" fontId="2" fillId="0" borderId="14" xfId="0" applyNumberFormat="1" applyFont="1" applyFill="1" applyBorder="1" applyAlignment="1">
      <alignment/>
    </xf>
    <xf numFmtId="2" fontId="10" fillId="0" borderId="14" xfId="0" applyNumberFormat="1" applyFont="1" applyBorder="1" applyAlignment="1">
      <alignment/>
    </xf>
    <xf numFmtId="166" fontId="2" fillId="33" borderId="10" xfId="0" applyNumberFormat="1" applyFont="1" applyFill="1" applyBorder="1" applyAlignment="1">
      <alignment/>
    </xf>
    <xf numFmtId="3" fontId="7" fillId="33" borderId="10" xfId="0" applyNumberFormat="1" applyFont="1" applyFill="1" applyBorder="1" applyAlignment="1">
      <alignment/>
    </xf>
    <xf numFmtId="0" fontId="0" fillId="0" borderId="10" xfId="0" applyFont="1" applyBorder="1" applyAlignment="1">
      <alignment horizontal="justify"/>
    </xf>
    <xf numFmtId="0" fontId="0" fillId="36" borderId="10" xfId="0" applyFont="1" applyFill="1" applyBorder="1" applyAlignment="1">
      <alignment horizontal="justify"/>
    </xf>
    <xf numFmtId="0" fontId="2" fillId="35" borderId="10" xfId="0" applyFont="1" applyFill="1" applyBorder="1" applyAlignment="1">
      <alignment horizontal="justify"/>
    </xf>
    <xf numFmtId="2" fontId="2" fillId="33" borderId="10" xfId="0" applyNumberFormat="1" applyFont="1" applyFill="1" applyBorder="1" applyAlignment="1">
      <alignment horizontal="right"/>
    </xf>
    <xf numFmtId="0" fontId="0" fillId="0" borderId="10" xfId="0" applyFont="1" applyBorder="1" applyAlignment="1">
      <alignment horizontal="right"/>
    </xf>
    <xf numFmtId="0" fontId="0" fillId="33" borderId="10" xfId="0" applyFont="1" applyFill="1" applyBorder="1" applyAlignment="1">
      <alignment horizontal="right"/>
    </xf>
    <xf numFmtId="2" fontId="0" fillId="33" borderId="10" xfId="0" applyNumberFormat="1" applyFont="1" applyFill="1" applyBorder="1" applyAlignment="1">
      <alignment horizontal="right"/>
    </xf>
    <xf numFmtId="2" fontId="4" fillId="36" borderId="10" xfId="0" applyNumberFormat="1" applyFont="1" applyFill="1" applyBorder="1" applyAlignment="1">
      <alignment horizontal="right"/>
    </xf>
    <xf numFmtId="2" fontId="2" fillId="36" borderId="16" xfId="0" applyNumberFormat="1" applyFont="1" applyFill="1" applyBorder="1" applyAlignment="1">
      <alignment horizontal="center"/>
    </xf>
    <xf numFmtId="0" fontId="3" fillId="0" borderId="10" xfId="0" applyFont="1" applyFill="1" applyBorder="1" applyAlignment="1">
      <alignment horizontal="center" vertical="center" wrapText="1"/>
    </xf>
    <xf numFmtId="2" fontId="2" fillId="33" borderId="16" xfId="0" applyNumberFormat="1" applyFont="1" applyFill="1" applyBorder="1" applyAlignment="1">
      <alignment/>
    </xf>
    <xf numFmtId="2" fontId="2" fillId="0" borderId="16" xfId="0" applyNumberFormat="1" applyFont="1" applyBorder="1" applyAlignment="1">
      <alignment/>
    </xf>
    <xf numFmtId="2" fontId="2" fillId="36" borderId="16" xfId="0" applyNumberFormat="1" applyFont="1" applyFill="1" applyBorder="1" applyAlignment="1">
      <alignment/>
    </xf>
    <xf numFmtId="0" fontId="2" fillId="35" borderId="11" xfId="0" applyFont="1" applyFill="1" applyBorder="1" applyAlignment="1">
      <alignment horizontal="center" vertical="justify" wrapText="1"/>
    </xf>
    <xf numFmtId="3" fontId="4" fillId="0" borderId="10" xfId="0" applyNumberFormat="1" applyFont="1" applyFill="1" applyBorder="1" applyAlignment="1">
      <alignment horizontal="center"/>
    </xf>
    <xf numFmtId="169" fontId="2" fillId="0" borderId="10" xfId="0" applyNumberFormat="1" applyFont="1" applyBorder="1" applyAlignment="1">
      <alignment/>
    </xf>
    <xf numFmtId="169" fontId="2" fillId="37" borderId="10" xfId="0" applyNumberFormat="1" applyFont="1" applyFill="1" applyBorder="1" applyAlignment="1">
      <alignment/>
    </xf>
    <xf numFmtId="0" fontId="8" fillId="35" borderId="10" xfId="0" applyFont="1" applyFill="1" applyBorder="1" applyAlignment="1">
      <alignment vertical="justify" wrapText="1"/>
    </xf>
    <xf numFmtId="2" fontId="7" fillId="36" borderId="16" xfId="0" applyNumberFormat="1" applyFont="1" applyFill="1" applyBorder="1" applyAlignment="1">
      <alignment/>
    </xf>
    <xf numFmtId="4" fontId="2" fillId="33" borderId="13" xfId="0" applyNumberFormat="1" applyFont="1" applyFill="1" applyBorder="1" applyAlignment="1">
      <alignment/>
    </xf>
    <xf numFmtId="4" fontId="16" fillId="0" borderId="10" xfId="0" applyNumberFormat="1" applyFont="1" applyBorder="1" applyAlignment="1">
      <alignment/>
    </xf>
    <xf numFmtId="4" fontId="16" fillId="33" borderId="10" xfId="0" applyNumberFormat="1" applyFont="1" applyFill="1" applyBorder="1" applyAlignment="1">
      <alignment/>
    </xf>
    <xf numFmtId="2" fontId="7" fillId="36" borderId="11" xfId="0" applyNumberFormat="1" applyFont="1" applyFill="1" applyBorder="1" applyAlignment="1">
      <alignment/>
    </xf>
    <xf numFmtId="4" fontId="5" fillId="0" borderId="10" xfId="0" applyNumberFormat="1" applyFont="1" applyBorder="1" applyAlignment="1">
      <alignment/>
    </xf>
    <xf numFmtId="170" fontId="2" fillId="0" borderId="10" xfId="0" applyNumberFormat="1" applyFont="1" applyFill="1" applyBorder="1" applyAlignment="1">
      <alignment/>
    </xf>
    <xf numFmtId="0" fontId="8" fillId="35" borderId="11" xfId="0" applyFont="1" applyFill="1" applyBorder="1" applyAlignment="1">
      <alignment vertical="justify" wrapText="1"/>
    </xf>
    <xf numFmtId="0" fontId="17" fillId="35" borderId="10" xfId="0" applyFont="1" applyFill="1" applyBorder="1" applyAlignment="1">
      <alignment/>
    </xf>
    <xf numFmtId="8" fontId="2" fillId="0" borderId="10" xfId="0" applyNumberFormat="1" applyFont="1" applyBorder="1" applyAlignment="1">
      <alignment/>
    </xf>
    <xf numFmtId="2" fontId="16" fillId="36" borderId="10" xfId="0" applyNumberFormat="1" applyFont="1" applyFill="1" applyBorder="1" applyAlignment="1">
      <alignment/>
    </xf>
    <xf numFmtId="2" fontId="16" fillId="36" borderId="13" xfId="0" applyNumberFormat="1" applyFont="1" applyFill="1" applyBorder="1" applyAlignment="1">
      <alignment/>
    </xf>
    <xf numFmtId="0" fontId="2" fillId="35" borderId="11" xfId="0" applyFont="1" applyFill="1" applyBorder="1" applyAlignment="1">
      <alignment wrapText="1"/>
    </xf>
    <xf numFmtId="8" fontId="2" fillId="0" borderId="11" xfId="0" applyNumberFormat="1" applyFont="1" applyBorder="1" applyAlignment="1">
      <alignment/>
    </xf>
    <xf numFmtId="4" fontId="2" fillId="33" borderId="16" xfId="0" applyNumberFormat="1" applyFont="1" applyFill="1" applyBorder="1" applyAlignment="1">
      <alignment/>
    </xf>
    <xf numFmtId="4" fontId="2" fillId="0" borderId="16" xfId="0" applyNumberFormat="1" applyFont="1" applyFill="1" applyBorder="1" applyAlignment="1">
      <alignment/>
    </xf>
    <xf numFmtId="4" fontId="2" fillId="36" borderId="16" xfId="0" applyNumberFormat="1" applyFont="1" applyFill="1" applyBorder="1" applyAlignment="1">
      <alignment horizontal="right"/>
    </xf>
    <xf numFmtId="169" fontId="2" fillId="37" borderId="13" xfId="0" applyNumberFormat="1" applyFont="1" applyFill="1" applyBorder="1" applyAlignment="1">
      <alignment/>
    </xf>
    <xf numFmtId="0" fontId="6" fillId="0" borderId="14" xfId="0" applyFont="1" applyBorder="1" applyAlignment="1">
      <alignment horizontal="right"/>
    </xf>
    <xf numFmtId="0" fontId="2" fillId="35" borderId="14" xfId="0" applyFont="1" applyFill="1" applyBorder="1" applyAlignment="1">
      <alignment horizontal="justify" vertical="center" wrapText="1"/>
    </xf>
    <xf numFmtId="4" fontId="2" fillId="0" borderId="14" xfId="0" applyNumberFormat="1" applyFont="1" applyFill="1" applyBorder="1" applyAlignment="1">
      <alignment/>
    </xf>
    <xf numFmtId="4" fontId="2" fillId="36" borderId="14" xfId="0" applyNumberFormat="1" applyFont="1" applyFill="1" applyBorder="1" applyAlignment="1">
      <alignment horizontal="right"/>
    </xf>
    <xf numFmtId="4" fontId="2" fillId="0" borderId="14" xfId="0" applyNumberFormat="1" applyFont="1" applyBorder="1" applyAlignment="1">
      <alignment/>
    </xf>
    <xf numFmtId="169" fontId="2" fillId="37" borderId="14" xfId="0" applyNumberFormat="1" applyFont="1" applyFill="1" applyBorder="1" applyAlignment="1">
      <alignment/>
    </xf>
    <xf numFmtId="0" fontId="7" fillId="0" borderId="10" xfId="0" applyFont="1" applyBorder="1" applyAlignment="1">
      <alignment horizontal="right"/>
    </xf>
    <xf numFmtId="0" fontId="2" fillId="35" borderId="10" xfId="0" applyNumberFormat="1" applyFont="1" applyFill="1" applyBorder="1" applyAlignment="1">
      <alignment horizontal="justify" vertical="justify" wrapText="1"/>
    </xf>
    <xf numFmtId="0" fontId="6" fillId="0" borderId="16" xfId="0" applyFont="1" applyBorder="1" applyAlignment="1">
      <alignment horizontal="right"/>
    </xf>
    <xf numFmtId="0" fontId="2" fillId="35" borderId="13" xfId="0" applyFont="1" applyFill="1" applyBorder="1" applyAlignment="1">
      <alignment horizontal="justify" vertical="center" wrapText="1"/>
    </xf>
    <xf numFmtId="4" fontId="2" fillId="0" borderId="13" xfId="0" applyNumberFormat="1" applyFont="1" applyFill="1" applyBorder="1" applyAlignment="1">
      <alignment/>
    </xf>
    <xf numFmtId="4" fontId="2" fillId="36" borderId="13" xfId="0" applyNumberFormat="1" applyFont="1" applyFill="1" applyBorder="1" applyAlignment="1">
      <alignment horizontal="right"/>
    </xf>
    <xf numFmtId="4" fontId="16" fillId="0" borderId="13" xfId="0" applyNumberFormat="1" applyFont="1" applyBorder="1" applyAlignment="1">
      <alignment/>
    </xf>
    <xf numFmtId="169" fontId="0" fillId="37" borderId="10" xfId="0" applyNumberFormat="1" applyFont="1" applyFill="1" applyBorder="1" applyAlignment="1">
      <alignment/>
    </xf>
    <xf numFmtId="4" fontId="5" fillId="33" borderId="13" xfId="0" applyNumberFormat="1" applyFont="1" applyFill="1" applyBorder="1" applyAlignment="1">
      <alignment/>
    </xf>
    <xf numFmtId="3" fontId="2" fillId="33" borderId="13" xfId="0" applyNumberFormat="1" applyFont="1" applyFill="1" applyBorder="1" applyAlignment="1">
      <alignment/>
    </xf>
    <xf numFmtId="3" fontId="3" fillId="33" borderId="13" xfId="0" applyNumberFormat="1" applyFont="1" applyFill="1" applyBorder="1" applyAlignment="1">
      <alignment/>
    </xf>
    <xf numFmtId="3" fontId="3" fillId="33" borderId="14" xfId="0" applyNumberFormat="1" applyFont="1" applyFill="1" applyBorder="1" applyAlignment="1">
      <alignment/>
    </xf>
    <xf numFmtId="1" fontId="2" fillId="36" borderId="13" xfId="0" applyNumberFormat="1" applyFont="1" applyFill="1" applyBorder="1" applyAlignment="1">
      <alignment/>
    </xf>
    <xf numFmtId="1" fontId="2" fillId="36" borderId="14" xfId="0" applyNumberFormat="1" applyFont="1" applyFill="1" applyBorder="1" applyAlignment="1">
      <alignment/>
    </xf>
    <xf numFmtId="169" fontId="2" fillId="0" borderId="13" xfId="0" applyNumberFormat="1" applyFont="1" applyBorder="1" applyAlignment="1">
      <alignment/>
    </xf>
    <xf numFmtId="0" fontId="2" fillId="35" borderId="10" xfId="0" applyFont="1" applyFill="1" applyBorder="1" applyAlignment="1">
      <alignment horizontal="justify" wrapText="1"/>
    </xf>
    <xf numFmtId="0" fontId="2" fillId="35" borderId="13" xfId="0" applyFont="1" applyFill="1" applyBorder="1" applyAlignment="1">
      <alignment horizontal="justify" wrapText="1"/>
    </xf>
    <xf numFmtId="169" fontId="2" fillId="0" borderId="11" xfId="0" applyNumberFormat="1" applyFont="1" applyBorder="1" applyAlignment="1">
      <alignment/>
    </xf>
    <xf numFmtId="169" fontId="0" fillId="0" borderId="0" xfId="0" applyNumberFormat="1" applyAlignment="1">
      <alignment/>
    </xf>
    <xf numFmtId="2" fontId="4" fillId="0" borderId="13" xfId="0" applyNumberFormat="1" applyFont="1" applyFill="1" applyBorder="1" applyAlignment="1">
      <alignment horizontal="left" vertical="center"/>
    </xf>
    <xf numFmtId="2" fontId="4" fillId="0" borderId="13" xfId="0" applyNumberFormat="1" applyFont="1" applyFill="1" applyBorder="1" applyAlignment="1">
      <alignment horizontal="center" vertical="center" textRotation="90"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xf>
    <xf numFmtId="0" fontId="4" fillId="0" borderId="13" xfId="0" applyFont="1" applyFill="1" applyBorder="1" applyAlignment="1">
      <alignment horizontal="center" vertical="center" textRotation="90" wrapText="1"/>
    </xf>
    <xf numFmtId="165" fontId="4" fillId="0" borderId="13" xfId="0" applyNumberFormat="1" applyFont="1" applyFill="1" applyBorder="1" applyAlignment="1">
      <alignment horizontal="center" vertical="center" wrapText="1"/>
    </xf>
    <xf numFmtId="0" fontId="4" fillId="36" borderId="14" xfId="0" applyFont="1" applyFill="1" applyBorder="1" applyAlignment="1">
      <alignment horizontal="center"/>
    </xf>
    <xf numFmtId="4" fontId="2" fillId="33" borderId="15" xfId="0" applyNumberFormat="1" applyFont="1" applyFill="1" applyBorder="1" applyAlignment="1">
      <alignment/>
    </xf>
    <xf numFmtId="4" fontId="2" fillId="0" borderId="15" xfId="0" applyNumberFormat="1" applyFont="1" applyFill="1" applyBorder="1" applyAlignment="1">
      <alignment/>
    </xf>
    <xf numFmtId="2" fontId="2" fillId="0" borderId="15" xfId="0" applyNumberFormat="1" applyFont="1" applyBorder="1" applyAlignment="1">
      <alignment/>
    </xf>
    <xf numFmtId="169" fontId="2" fillId="0" borderId="0" xfId="0" applyNumberFormat="1" applyFont="1" applyAlignment="1">
      <alignment/>
    </xf>
    <xf numFmtId="0" fontId="4" fillId="0" borderId="0" xfId="0" applyFont="1" applyFill="1" applyBorder="1" applyAlignment="1">
      <alignment horizontal="center"/>
    </xf>
    <xf numFmtId="4" fontId="2" fillId="0" borderId="0" xfId="0" applyNumberFormat="1" applyFont="1" applyFill="1" applyBorder="1" applyAlignment="1">
      <alignment/>
    </xf>
    <xf numFmtId="0" fontId="6" fillId="0" borderId="0" xfId="0" applyFont="1" applyFill="1" applyBorder="1" applyAlignment="1">
      <alignment horizontal="right"/>
    </xf>
    <xf numFmtId="0" fontId="2" fillId="0" borderId="0" xfId="0" applyFont="1" applyFill="1" applyBorder="1" applyAlignment="1">
      <alignment vertical="justify" wrapText="1"/>
    </xf>
    <xf numFmtId="2" fontId="2" fillId="0" borderId="0" xfId="0" applyNumberFormat="1" applyFont="1" applyFill="1" applyBorder="1" applyAlignment="1">
      <alignment/>
    </xf>
    <xf numFmtId="2" fontId="3" fillId="0" borderId="0" xfId="0" applyNumberFormat="1" applyFont="1" applyFill="1" applyBorder="1" applyAlignment="1">
      <alignment/>
    </xf>
    <xf numFmtId="2" fontId="2" fillId="0" borderId="0" xfId="0" applyNumberFormat="1" applyFont="1" applyFill="1" applyBorder="1" applyAlignment="1">
      <alignment horizontal="center"/>
    </xf>
    <xf numFmtId="165" fontId="2" fillId="0" borderId="0" xfId="0" applyNumberFormat="1" applyFont="1" applyFill="1" applyBorder="1" applyAlignment="1">
      <alignment/>
    </xf>
    <xf numFmtId="0" fontId="8" fillId="0" borderId="0" xfId="0" applyFont="1" applyFill="1" applyBorder="1" applyAlignment="1">
      <alignment/>
    </xf>
    <xf numFmtId="8" fontId="2" fillId="0" borderId="0" xfId="0" applyNumberFormat="1" applyFont="1" applyFill="1" applyBorder="1" applyAlignment="1">
      <alignment/>
    </xf>
    <xf numFmtId="169" fontId="2" fillId="0" borderId="0" xfId="0" applyNumberFormat="1" applyFont="1" applyFill="1" applyBorder="1" applyAlignment="1">
      <alignment/>
    </xf>
    <xf numFmtId="0" fontId="2" fillId="0" borderId="0" xfId="0" applyFont="1" applyFill="1" applyBorder="1" applyAlignment="1">
      <alignment horizontal="justify" vertical="justify" wrapText="1"/>
    </xf>
    <xf numFmtId="0" fontId="17" fillId="0" borderId="0" xfId="0" applyFont="1" applyFill="1" applyBorder="1" applyAlignment="1">
      <alignment/>
    </xf>
    <xf numFmtId="0" fontId="2" fillId="0" borderId="0" xfId="0" applyFont="1" applyFill="1" applyBorder="1" applyAlignment="1">
      <alignment horizontal="justify" vertical="center" wrapText="1"/>
    </xf>
    <xf numFmtId="2" fontId="7" fillId="0" borderId="0" xfId="0" applyNumberFormat="1" applyFont="1" applyFill="1" applyBorder="1" applyAlignment="1">
      <alignment/>
    </xf>
    <xf numFmtId="169" fontId="2" fillId="0" borderId="0" xfId="0" applyNumberFormat="1" applyFont="1" applyFill="1" applyAlignment="1">
      <alignment/>
    </xf>
    <xf numFmtId="167" fontId="2" fillId="37" borderId="14" xfId="0" applyNumberFormat="1"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2" fillId="35" borderId="14" xfId="0" applyFont="1" applyFill="1" applyBorder="1" applyAlignment="1">
      <alignment horizontal="justify" vertical="justify" wrapText="1"/>
    </xf>
    <xf numFmtId="2" fontId="2" fillId="33" borderId="14" xfId="0" applyNumberFormat="1" applyFont="1" applyFill="1" applyBorder="1" applyAlignment="1">
      <alignment horizontal="right"/>
    </xf>
    <xf numFmtId="167" fontId="2" fillId="0" borderId="14" xfId="0" applyNumberFormat="1" applyFont="1" applyFill="1" applyBorder="1" applyAlignment="1">
      <alignment/>
    </xf>
    <xf numFmtId="3" fontId="2" fillId="33" borderId="14" xfId="0" applyNumberFormat="1" applyFont="1" applyFill="1" applyBorder="1" applyAlignment="1">
      <alignment/>
    </xf>
    <xf numFmtId="4" fontId="10" fillId="34" borderId="14" xfId="0" applyNumberFormat="1" applyFont="1" applyFill="1" applyBorder="1" applyAlignment="1">
      <alignment/>
    </xf>
    <xf numFmtId="4" fontId="2" fillId="36" borderId="14" xfId="0" applyNumberFormat="1" applyFont="1" applyFill="1" applyBorder="1" applyAlignment="1">
      <alignment horizontal="center"/>
    </xf>
    <xf numFmtId="0" fontId="2" fillId="35" borderId="16" xfId="0" applyFont="1" applyFill="1" applyBorder="1" applyAlignment="1">
      <alignment horizontal="justify" vertical="center" wrapText="1"/>
    </xf>
    <xf numFmtId="0" fontId="2" fillId="35" borderId="14" xfId="0" applyNumberFormat="1" applyFont="1" applyFill="1" applyBorder="1" applyAlignment="1">
      <alignment horizontal="justify" vertical="top" wrapText="1"/>
    </xf>
    <xf numFmtId="169" fontId="2" fillId="0" borderId="14" xfId="0" applyNumberFormat="1" applyFont="1" applyBorder="1" applyAlignment="1">
      <alignment/>
    </xf>
    <xf numFmtId="0" fontId="2" fillId="35" borderId="14" xfId="0" applyFont="1" applyFill="1" applyBorder="1" applyAlignment="1">
      <alignment horizontal="justify" wrapText="1"/>
    </xf>
    <xf numFmtId="0" fontId="6" fillId="0" borderId="15" xfId="0" applyFont="1" applyBorder="1" applyAlignment="1">
      <alignment horizontal="right"/>
    </xf>
    <xf numFmtId="4" fontId="2" fillId="36" borderId="15" xfId="0" applyNumberFormat="1" applyFont="1" applyFill="1" applyBorder="1" applyAlignment="1">
      <alignment horizontal="right"/>
    </xf>
    <xf numFmtId="0" fontId="20" fillId="0" borderId="0" xfId="0" applyFont="1" applyAlignment="1">
      <alignment/>
    </xf>
    <xf numFmtId="0" fontId="20" fillId="0" borderId="0" xfId="0" applyFont="1" applyFill="1" applyBorder="1" applyAlignment="1">
      <alignment/>
    </xf>
    <xf numFmtId="169" fontId="20" fillId="0" borderId="0" xfId="0" applyNumberFormat="1" applyFont="1" applyAlignment="1">
      <alignment/>
    </xf>
    <xf numFmtId="0" fontId="21" fillId="35" borderId="10" xfId="0" applyFont="1" applyFill="1" applyBorder="1" applyAlignment="1">
      <alignment horizontal="justify"/>
    </xf>
    <xf numFmtId="0" fontId="21" fillId="35" borderId="21" xfId="0" applyFont="1" applyFill="1" applyBorder="1" applyAlignment="1">
      <alignment horizontal="justify" wrapText="1"/>
    </xf>
    <xf numFmtId="0" fontId="14" fillId="0" borderId="0" xfId="0" applyFont="1" applyAlignment="1">
      <alignment/>
    </xf>
    <xf numFmtId="172" fontId="2" fillId="0" borderId="10" xfId="0" applyNumberFormat="1" applyFont="1" applyBorder="1" applyAlignment="1">
      <alignment/>
    </xf>
    <xf numFmtId="172" fontId="2" fillId="0" borderId="10" xfId="0" applyNumberFormat="1" applyFont="1" applyFill="1" applyBorder="1" applyAlignment="1">
      <alignment/>
    </xf>
    <xf numFmtId="0" fontId="21" fillId="35" borderId="10" xfId="0" applyFont="1" applyFill="1" applyBorder="1" applyAlignment="1">
      <alignment horizontal="justify" vertical="center" wrapText="1"/>
    </xf>
    <xf numFmtId="0" fontId="21" fillId="35" borderId="10" xfId="0" applyFont="1" applyFill="1" applyBorder="1" applyAlignment="1">
      <alignment horizontal="justify" vertical="top" wrapText="1"/>
    </xf>
    <xf numFmtId="0" fontId="21" fillId="35" borderId="10" xfId="0" applyFont="1" applyFill="1" applyBorder="1" applyAlignment="1">
      <alignment wrapText="1"/>
    </xf>
    <xf numFmtId="0" fontId="21" fillId="35" borderId="0" xfId="0" applyFont="1" applyFill="1" applyAlignment="1">
      <alignment wrapText="1"/>
    </xf>
    <xf numFmtId="0" fontId="4" fillId="36" borderId="16" xfId="0" applyFont="1" applyFill="1" applyBorder="1" applyAlignment="1">
      <alignment horizontal="center"/>
    </xf>
    <xf numFmtId="4" fontId="2" fillId="0" borderId="16" xfId="0" applyNumberFormat="1" applyFont="1" applyBorder="1" applyAlignment="1">
      <alignment/>
    </xf>
    <xf numFmtId="169" fontId="2" fillId="37" borderId="11" xfId="0" applyNumberFormat="1" applyFont="1" applyFill="1" applyBorder="1" applyAlignment="1">
      <alignment/>
    </xf>
    <xf numFmtId="0" fontId="4" fillId="36" borderId="22" xfId="0" applyFont="1" applyFill="1" applyBorder="1" applyAlignment="1">
      <alignment horizontal="center"/>
    </xf>
    <xf numFmtId="169" fontId="2" fillId="37" borderId="16" xfId="0" applyNumberFormat="1" applyFont="1" applyFill="1" applyBorder="1" applyAlignment="1">
      <alignment/>
    </xf>
    <xf numFmtId="0" fontId="8" fillId="35" borderId="13" xfId="0" applyFont="1" applyFill="1" applyBorder="1" applyAlignment="1">
      <alignment horizontal="justify" vertical="center" wrapText="1"/>
    </xf>
    <xf numFmtId="4" fontId="16" fillId="0" borderId="14" xfId="0" applyNumberFormat="1" applyFont="1" applyBorder="1" applyAlignment="1">
      <alignment/>
    </xf>
    <xf numFmtId="0" fontId="4" fillId="36" borderId="15" xfId="0" applyFont="1" applyFill="1" applyBorder="1" applyAlignment="1">
      <alignment horizontal="center"/>
    </xf>
    <xf numFmtId="169" fontId="2" fillId="37" borderId="15" xfId="0" applyNumberFormat="1" applyFont="1" applyFill="1" applyBorder="1" applyAlignment="1">
      <alignment/>
    </xf>
    <xf numFmtId="169" fontId="2" fillId="0" borderId="16" xfId="0" applyNumberFormat="1" applyFont="1" applyBorder="1" applyAlignment="1">
      <alignment/>
    </xf>
    <xf numFmtId="0" fontId="21" fillId="35" borderId="10" xfId="0" applyFont="1" applyFill="1" applyBorder="1" applyAlignment="1">
      <alignment horizontal="justify" wrapText="1"/>
    </xf>
    <xf numFmtId="0" fontId="21" fillId="35" borderId="0" xfId="0" applyFont="1" applyFill="1" applyBorder="1" applyAlignment="1">
      <alignment wrapText="1"/>
    </xf>
    <xf numFmtId="169" fontId="2" fillId="0" borderId="15" xfId="0" applyNumberFormat="1" applyFont="1" applyBorder="1" applyAlignment="1">
      <alignment/>
    </xf>
    <xf numFmtId="0" fontId="4" fillId="38" borderId="13" xfId="0" applyFont="1" applyFill="1" applyBorder="1" applyAlignment="1">
      <alignment horizontal="center"/>
    </xf>
    <xf numFmtId="0" fontId="6" fillId="38" borderId="13" xfId="0" applyFont="1" applyFill="1" applyBorder="1" applyAlignment="1">
      <alignment horizontal="right"/>
    </xf>
    <xf numFmtId="0" fontId="3" fillId="38" borderId="13" xfId="0" applyFont="1" applyFill="1" applyBorder="1" applyAlignment="1">
      <alignment vertical="justify" wrapText="1"/>
    </xf>
    <xf numFmtId="2" fontId="3" fillId="38" borderId="13" xfId="0" applyNumberFormat="1" applyFont="1" applyFill="1" applyBorder="1" applyAlignment="1">
      <alignment/>
    </xf>
    <xf numFmtId="165" fontId="7" fillId="38" borderId="23" xfId="0" applyNumberFormat="1" applyFont="1" applyFill="1" applyBorder="1" applyAlignment="1">
      <alignment/>
    </xf>
    <xf numFmtId="167" fontId="18" fillId="38" borderId="13" xfId="0" applyNumberFormat="1" applyFont="1" applyFill="1" applyBorder="1" applyAlignment="1">
      <alignment/>
    </xf>
    <xf numFmtId="0" fontId="6" fillId="0" borderId="22" xfId="0" applyFont="1" applyBorder="1" applyAlignment="1">
      <alignment horizontal="right"/>
    </xf>
    <xf numFmtId="0" fontId="14" fillId="35" borderId="22" xfId="0" applyFont="1" applyFill="1" applyBorder="1" applyAlignment="1">
      <alignment/>
    </xf>
    <xf numFmtId="4" fontId="2" fillId="33" borderId="22" xfId="0" applyNumberFormat="1" applyFont="1" applyFill="1" applyBorder="1" applyAlignment="1">
      <alignment/>
    </xf>
    <xf numFmtId="4" fontId="2" fillId="0" borderId="22" xfId="0" applyNumberFormat="1" applyFont="1" applyFill="1" applyBorder="1" applyAlignment="1">
      <alignment/>
    </xf>
    <xf numFmtId="2" fontId="2" fillId="0" borderId="22" xfId="0" applyNumberFormat="1" applyFont="1" applyBorder="1" applyAlignment="1">
      <alignment/>
    </xf>
    <xf numFmtId="2" fontId="2" fillId="36" borderId="22" xfId="0" applyNumberFormat="1" applyFont="1" applyFill="1" applyBorder="1" applyAlignment="1">
      <alignment/>
    </xf>
    <xf numFmtId="2" fontId="2" fillId="36" borderId="22" xfId="0" applyNumberFormat="1" applyFont="1" applyFill="1" applyBorder="1" applyAlignment="1">
      <alignment horizontal="center"/>
    </xf>
    <xf numFmtId="169" fontId="2" fillId="0" borderId="22" xfId="0" applyNumberFormat="1" applyFont="1" applyBorder="1" applyAlignment="1">
      <alignment/>
    </xf>
    <xf numFmtId="169" fontId="2" fillId="37" borderId="22" xfId="0" applyNumberFormat="1" applyFont="1" applyFill="1" applyBorder="1" applyAlignment="1">
      <alignment/>
    </xf>
    <xf numFmtId="0" fontId="21" fillId="35" borderId="13" xfId="0" applyFont="1" applyFill="1" applyBorder="1" applyAlignment="1">
      <alignment horizontal="justify" wrapText="1"/>
    </xf>
    <xf numFmtId="0" fontId="4" fillId="35" borderId="13" xfId="0" applyFont="1" applyFill="1" applyBorder="1" applyAlignment="1">
      <alignment horizontal="center" vertical="center" wrapText="1"/>
    </xf>
    <xf numFmtId="167" fontId="2" fillId="0" borderId="0" xfId="0" applyNumberFormat="1" applyFont="1" applyAlignment="1">
      <alignment/>
    </xf>
    <xf numFmtId="0" fontId="2" fillId="35" borderId="13" xfId="0" applyFont="1" applyFill="1" applyBorder="1" applyAlignment="1">
      <alignment horizontal="center" vertical="justify" wrapText="1"/>
    </xf>
    <xf numFmtId="0" fontId="0" fillId="0" borderId="24" xfId="0" applyFill="1" applyBorder="1" applyAlignment="1">
      <alignment horizontal="right"/>
    </xf>
    <xf numFmtId="0" fontId="2" fillId="35" borderId="13" xfId="0" applyFont="1" applyFill="1" applyBorder="1" applyAlignment="1">
      <alignment vertical="justify" wrapText="1"/>
    </xf>
    <xf numFmtId="4" fontId="2" fillId="36" borderId="13" xfId="0" applyNumberFormat="1" applyFont="1" applyFill="1" applyBorder="1" applyAlignment="1">
      <alignment horizontal="center"/>
    </xf>
    <xf numFmtId="167" fontId="2" fillId="37" borderId="16" xfId="0" applyNumberFormat="1" applyFont="1" applyFill="1" applyBorder="1" applyAlignment="1">
      <alignment/>
    </xf>
    <xf numFmtId="0" fontId="2" fillId="35" borderId="13" xfId="0" applyNumberFormat="1" applyFont="1" applyFill="1" applyBorder="1" applyAlignment="1">
      <alignment horizontal="justify" vertical="top" wrapText="1" shrinkToFit="1"/>
    </xf>
    <xf numFmtId="0" fontId="8" fillId="35" borderId="13" xfId="0" applyFont="1" applyFill="1" applyBorder="1" applyAlignment="1">
      <alignment vertical="justify" wrapText="1"/>
    </xf>
    <xf numFmtId="2" fontId="7" fillId="36" borderId="15" xfId="0" applyNumberFormat="1" applyFont="1" applyFill="1" applyBorder="1" applyAlignment="1">
      <alignment/>
    </xf>
    <xf numFmtId="167" fontId="0" fillId="0" borderId="0" xfId="0" applyNumberFormat="1" applyAlignment="1">
      <alignment/>
    </xf>
    <xf numFmtId="0" fontId="21" fillId="35" borderId="0" xfId="0" applyFont="1" applyFill="1" applyBorder="1" applyAlignment="1">
      <alignment horizontal="justify" wrapText="1"/>
    </xf>
    <xf numFmtId="0" fontId="2" fillId="35" borderId="10" xfId="0" applyFont="1" applyFill="1" applyBorder="1" applyAlignment="1">
      <alignment horizontal="justify" vertical="top" wrapText="1"/>
    </xf>
    <xf numFmtId="0" fontId="15" fillId="36" borderId="10" xfId="0" applyFont="1" applyFill="1" applyBorder="1" applyAlignment="1">
      <alignment horizontal="center"/>
    </xf>
    <xf numFmtId="0" fontId="4" fillId="36" borderId="0" xfId="0" applyFont="1" applyFill="1" applyBorder="1" applyAlignment="1">
      <alignment horizontal="center"/>
    </xf>
    <xf numFmtId="0" fontId="4" fillId="36" borderId="11" xfId="0" applyFont="1" applyFill="1" applyBorder="1" applyAlignment="1">
      <alignment horizontal="center"/>
    </xf>
    <xf numFmtId="0" fontId="19" fillId="36" borderId="10" xfId="0" applyFont="1" applyFill="1" applyBorder="1" applyAlignment="1">
      <alignment horizontal="center"/>
    </xf>
    <xf numFmtId="2" fontId="3" fillId="33" borderId="11" xfId="0" applyNumberFormat="1" applyFont="1" applyFill="1" applyBorder="1" applyAlignment="1">
      <alignment horizontal="center" vertical="center" textRotation="90" wrapText="1"/>
    </xf>
    <xf numFmtId="2" fontId="4" fillId="33" borderId="13" xfId="0" applyNumberFormat="1" applyFont="1" applyFill="1" applyBorder="1" applyAlignment="1">
      <alignment horizontal="center" vertical="center" textRotation="90" wrapText="1"/>
    </xf>
    <xf numFmtId="2" fontId="4" fillId="0" borderId="19" xfId="0" applyNumberFormat="1" applyFont="1" applyBorder="1" applyAlignment="1">
      <alignment horizontal="center" vertical="center"/>
    </xf>
    <xf numFmtId="2" fontId="0" fillId="0" borderId="17" xfId="0" applyNumberFormat="1" applyBorder="1" applyAlignment="1">
      <alignment horizontal="center"/>
    </xf>
    <xf numFmtId="0" fontId="3" fillId="36" borderId="11" xfId="0" applyFont="1" applyFill="1" applyBorder="1" applyAlignment="1">
      <alignment horizontal="center" vertical="center" textRotation="90" wrapText="1"/>
    </xf>
    <xf numFmtId="0" fontId="4" fillId="36" borderId="13" xfId="0" applyFont="1" applyFill="1" applyBorder="1" applyAlignment="1">
      <alignment horizontal="center" vertical="center" textRotation="90" wrapText="1"/>
    </xf>
    <xf numFmtId="49" fontId="4" fillId="0" borderId="0" xfId="0" applyNumberFormat="1" applyFont="1" applyFill="1" applyBorder="1" applyAlignment="1">
      <alignment horizontal="center"/>
    </xf>
    <xf numFmtId="0" fontId="4" fillId="0" borderId="0" xfId="0" applyFont="1" applyFill="1" applyBorder="1" applyAlignment="1">
      <alignment horizontal="center"/>
    </xf>
    <xf numFmtId="165" fontId="3" fillId="0" borderId="11" xfId="0" applyNumberFormat="1" applyFont="1" applyBorder="1" applyAlignment="1">
      <alignment horizontal="center" vertical="center" wrapText="1"/>
    </xf>
    <xf numFmtId="165" fontId="4" fillId="0" borderId="13" xfId="0" applyNumberFormat="1" applyFont="1" applyBorder="1" applyAlignment="1">
      <alignment horizontal="center" vertical="center" wrapText="1"/>
    </xf>
    <xf numFmtId="0" fontId="3" fillId="0" borderId="11"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2" fontId="3" fillId="0" borderId="11" xfId="0" applyNumberFormat="1" applyFont="1" applyBorder="1" applyAlignment="1">
      <alignment horizontal="center" vertical="center" textRotation="90" wrapText="1"/>
    </xf>
    <xf numFmtId="2" fontId="4" fillId="0" borderId="13" xfId="0" applyNumberFormat="1" applyFont="1" applyBorder="1" applyAlignment="1">
      <alignment horizontal="center" vertical="center" textRotation="90" wrapText="1"/>
    </xf>
    <xf numFmtId="2" fontId="8" fillId="39" borderId="25" xfId="0" applyNumberFormat="1" applyFont="1" applyFill="1" applyBorder="1" applyAlignment="1">
      <alignment horizontal="center" vertical="center" wrapText="1"/>
    </xf>
    <xf numFmtId="2" fontId="8" fillId="0" borderId="18"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8" fillId="0" borderId="23" xfId="0" applyNumberFormat="1" applyFont="1" applyBorder="1" applyAlignment="1">
      <alignment horizontal="center" vertical="center"/>
    </xf>
    <xf numFmtId="2" fontId="8" fillId="0" borderId="27" xfId="0" applyNumberFormat="1" applyFont="1" applyBorder="1" applyAlignment="1">
      <alignment horizontal="center" vertical="center"/>
    </xf>
    <xf numFmtId="2" fontId="8" fillId="0" borderId="28" xfId="0" applyNumberFormat="1" applyFont="1" applyBorder="1" applyAlignment="1">
      <alignment horizontal="center" vertical="center"/>
    </xf>
    <xf numFmtId="0" fontId="4" fillId="36" borderId="10" xfId="0" applyFont="1" applyFill="1" applyBorder="1" applyAlignment="1">
      <alignment horizontal="center" vertical="center" textRotation="90"/>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2" fillId="35" borderId="11"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35" borderId="13" xfId="0" applyFont="1" applyFill="1" applyBorder="1" applyAlignment="1">
      <alignment horizontal="center" vertical="center" wrapText="1"/>
    </xf>
    <xf numFmtId="165" fontId="3" fillId="37" borderId="11" xfId="0" applyNumberFormat="1" applyFont="1" applyFill="1" applyBorder="1" applyAlignment="1">
      <alignment horizontal="center" vertical="center" wrapText="1"/>
    </xf>
    <xf numFmtId="165" fontId="4" fillId="37" borderId="13"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3" xfId="0" applyBorder="1" applyAlignment="1">
      <alignment horizontal="center" vertical="center" wrapText="1"/>
    </xf>
    <xf numFmtId="2" fontId="11" fillId="38" borderId="23" xfId="0" applyNumberFormat="1" applyFont="1" applyFill="1" applyBorder="1" applyAlignment="1">
      <alignment horizontal="center" wrapText="1"/>
    </xf>
    <xf numFmtId="2" fontId="11" fillId="38" borderId="27" xfId="0" applyNumberFormat="1" applyFont="1" applyFill="1" applyBorder="1" applyAlignment="1">
      <alignment horizontal="center" wrapText="1"/>
    </xf>
    <xf numFmtId="2" fontId="11" fillId="38" borderId="28" xfId="0" applyNumberFormat="1" applyFont="1" applyFill="1" applyBorder="1" applyAlignment="1">
      <alignment horizont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xdr:rowOff>
    </xdr:from>
    <xdr:to>
      <xdr:col>2</xdr:col>
      <xdr:colOff>0</xdr:colOff>
      <xdr:row>5</xdr:row>
      <xdr:rowOff>0</xdr:rowOff>
    </xdr:to>
    <xdr:sp>
      <xdr:nvSpPr>
        <xdr:cNvPr id="1" name="Testo 2"/>
        <xdr:cNvSpPr txBox="1">
          <a:spLocks noChangeArrowheads="1"/>
        </xdr:cNvSpPr>
      </xdr:nvSpPr>
      <xdr:spPr>
        <a:xfrm>
          <a:off x="752475" y="962025"/>
          <a:ext cx="0" cy="857250"/>
        </a:xfrm>
        <a:prstGeom prst="rect">
          <a:avLst/>
        </a:prstGeom>
        <a:noFill/>
        <a:ln w="1" cmpd="sng">
          <a:noFill/>
        </a:ln>
      </xdr:spPr>
      <xdr:txBody>
        <a:bodyPr vertOverflow="clip" wrap="square" lIns="27432" tIns="18288" rIns="27432" bIns="18288" anchor="ctr"/>
        <a:p>
          <a:pPr algn="ctr">
            <a:defRPr/>
          </a:pPr>
          <a:r>
            <a:rPr lang="en-US" cap="none" sz="800" b="0" i="0" u="none" baseline="0">
              <a:solidFill>
                <a:srgbClr val="000000"/>
              </a:solidFill>
              <a:latin typeface="Arial"/>
              <a:ea typeface="Arial"/>
              <a:cs typeface="Arial"/>
            </a:rPr>
            <a:t>ARTICOLI
</a:t>
          </a:r>
          <a:r>
            <a:rPr lang="en-US" cap="none" sz="800" b="0" i="0" u="none" baseline="0">
              <a:solidFill>
                <a:srgbClr val="000000"/>
              </a:solidFill>
              <a:latin typeface="Arial"/>
              <a:ea typeface="Arial"/>
              <a:cs typeface="Arial"/>
            </a:rPr>
            <a:t>DI
</a:t>
          </a:r>
          <a:r>
            <a:rPr lang="en-US" cap="none" sz="800" b="0" i="0" u="none" baseline="0">
              <a:solidFill>
                <a:srgbClr val="000000"/>
              </a:solidFill>
              <a:latin typeface="Arial"/>
              <a:ea typeface="Arial"/>
              <a:cs typeface="Arial"/>
            </a:rPr>
            <a:t>ELENCO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03"/>
  <sheetViews>
    <sheetView tabSelected="1" zoomScale="75" zoomScaleNormal="75" zoomScalePageLayoutView="0" workbookViewId="0" topLeftCell="A668">
      <selection activeCell="T8" sqref="T8"/>
    </sheetView>
  </sheetViews>
  <sheetFormatPr defaultColWidth="9.140625" defaultRowHeight="25.5" customHeight="1"/>
  <cols>
    <col min="1" max="1" width="4.7109375" style="34" customWidth="1"/>
    <col min="2" max="2" width="6.57421875" style="89" customWidth="1"/>
    <col min="3" max="3" width="23.8515625" style="53" customWidth="1"/>
    <col min="4" max="4" width="6.421875" style="22" customWidth="1"/>
    <col min="5" max="5" width="5.28125" style="22" customWidth="1"/>
    <col min="6" max="6" width="5.8515625" style="22" customWidth="1"/>
    <col min="7" max="7" width="7.7109375" style="22" customWidth="1"/>
    <col min="8" max="8" width="10.00390625" style="16" customWidth="1"/>
    <col min="9" max="9" width="4.28125" style="18" customWidth="1"/>
    <col min="10" max="10" width="9.28125" style="14" bestFit="1" customWidth="1"/>
    <col min="11" max="11" width="17.00390625" style="14" customWidth="1"/>
    <col min="12" max="12" width="3.8515625" style="1" customWidth="1"/>
    <col min="13" max="16384" width="9.140625" style="1" customWidth="1"/>
  </cols>
  <sheetData>
    <row r="1" spans="1:11" s="30" customFormat="1" ht="13.5" customHeight="1">
      <c r="A1" s="322" t="s">
        <v>282</v>
      </c>
      <c r="B1" s="323"/>
      <c r="C1" s="323"/>
      <c r="D1" s="323"/>
      <c r="E1" s="323"/>
      <c r="F1" s="323"/>
      <c r="G1" s="323"/>
      <c r="H1" s="323"/>
      <c r="I1" s="323"/>
      <c r="J1" s="323"/>
      <c r="K1" s="324"/>
    </row>
    <row r="2" spans="1:11" s="31" customFormat="1" ht="36" customHeight="1">
      <c r="A2" s="325"/>
      <c r="B2" s="326"/>
      <c r="C2" s="326"/>
      <c r="D2" s="326"/>
      <c r="E2" s="326"/>
      <c r="F2" s="326"/>
      <c r="G2" s="326"/>
      <c r="H2" s="326"/>
      <c r="I2" s="326"/>
      <c r="J2" s="326"/>
      <c r="K2" s="327"/>
    </row>
    <row r="3" spans="2:11" ht="25.5" customHeight="1">
      <c r="B3" s="86"/>
      <c r="C3" s="312"/>
      <c r="D3" s="313"/>
      <c r="E3" s="313"/>
      <c r="F3" s="313"/>
      <c r="G3" s="313"/>
      <c r="H3" s="90"/>
      <c r="I3" s="32"/>
      <c r="J3" s="33"/>
      <c r="K3" s="33"/>
    </row>
    <row r="4" spans="1:11" ht="23.25" customHeight="1">
      <c r="A4" s="328" t="s">
        <v>64</v>
      </c>
      <c r="B4" s="316" t="s">
        <v>82</v>
      </c>
      <c r="C4" s="318" t="s">
        <v>242</v>
      </c>
      <c r="D4" s="306" t="s">
        <v>238</v>
      </c>
      <c r="E4" s="320" t="s">
        <v>239</v>
      </c>
      <c r="F4" s="306" t="s">
        <v>252</v>
      </c>
      <c r="G4" s="308" t="s">
        <v>235</v>
      </c>
      <c r="H4" s="309"/>
      <c r="I4" s="310" t="s">
        <v>250</v>
      </c>
      <c r="J4" s="314" t="s">
        <v>240</v>
      </c>
      <c r="K4" s="334" t="s">
        <v>241</v>
      </c>
    </row>
    <row r="5" spans="1:11" ht="45" customHeight="1">
      <c r="A5" s="328"/>
      <c r="B5" s="317"/>
      <c r="C5" s="319"/>
      <c r="D5" s="307"/>
      <c r="E5" s="321"/>
      <c r="F5" s="307"/>
      <c r="G5" s="19" t="s">
        <v>236</v>
      </c>
      <c r="H5" s="91" t="s">
        <v>237</v>
      </c>
      <c r="I5" s="311"/>
      <c r="J5" s="315"/>
      <c r="K5" s="335"/>
    </row>
    <row r="6" spans="1:11" ht="27" customHeight="1">
      <c r="A6" s="46"/>
      <c r="B6" s="87"/>
      <c r="C6" s="56" t="s">
        <v>314</v>
      </c>
      <c r="D6" s="206" t="s">
        <v>58</v>
      </c>
      <c r="E6" s="207"/>
      <c r="F6" s="207"/>
      <c r="G6" s="208"/>
      <c r="H6" s="209"/>
      <c r="I6" s="210"/>
      <c r="J6" s="60"/>
      <c r="K6" s="211"/>
    </row>
    <row r="7" spans="1:11" ht="18">
      <c r="A7" s="46"/>
      <c r="B7" s="87"/>
      <c r="C7" s="56"/>
      <c r="D7" s="27"/>
      <c r="E7" s="28"/>
      <c r="F7" s="27"/>
      <c r="G7" s="19"/>
      <c r="H7" s="91"/>
      <c r="I7" s="45"/>
      <c r="J7" s="60"/>
      <c r="K7" s="29"/>
    </row>
    <row r="8" spans="1:11" ht="258.75">
      <c r="A8" s="46">
        <v>1</v>
      </c>
      <c r="B8" s="43"/>
      <c r="C8" s="67" t="s">
        <v>27</v>
      </c>
      <c r="D8" s="27"/>
      <c r="E8" s="28"/>
      <c r="F8" s="27"/>
      <c r="G8" s="19"/>
      <c r="H8" s="68">
        <v>1</v>
      </c>
      <c r="I8" s="69" t="s">
        <v>251</v>
      </c>
      <c r="J8" s="60">
        <v>9000</v>
      </c>
      <c r="K8" s="59">
        <f>H8*J8</f>
        <v>9000</v>
      </c>
    </row>
    <row r="9" spans="1:11" ht="12.75">
      <c r="A9" s="46"/>
      <c r="B9" s="110"/>
      <c r="C9" s="67"/>
      <c r="D9" s="27"/>
      <c r="E9" s="28"/>
      <c r="F9" s="27"/>
      <c r="G9" s="19"/>
      <c r="H9" s="68"/>
      <c r="I9" s="69"/>
      <c r="J9" s="60"/>
      <c r="K9" s="59"/>
    </row>
    <row r="10" spans="1:11" ht="191.25">
      <c r="A10" s="46">
        <v>2</v>
      </c>
      <c r="B10" s="47"/>
      <c r="C10" s="67" t="s">
        <v>254</v>
      </c>
      <c r="D10" s="5"/>
      <c r="E10" s="9"/>
      <c r="F10" s="5"/>
      <c r="G10" s="20"/>
      <c r="H10" s="85">
        <v>1</v>
      </c>
      <c r="I10" s="71" t="s">
        <v>251</v>
      </c>
      <c r="J10" s="60">
        <v>1500</v>
      </c>
      <c r="K10" s="59">
        <f>H10*J10</f>
        <v>1500</v>
      </c>
    </row>
    <row r="11" spans="1:11" ht="12.75">
      <c r="A11" s="46"/>
      <c r="B11" s="110"/>
      <c r="C11" s="67"/>
      <c r="D11" s="27"/>
      <c r="E11" s="28"/>
      <c r="F11" s="27"/>
      <c r="G11" s="19"/>
      <c r="H11" s="68"/>
      <c r="I11" s="69"/>
      <c r="J11" s="60"/>
      <c r="K11" s="59"/>
    </row>
    <row r="12" spans="1:12" ht="135.75" thickBot="1">
      <c r="A12" s="212">
        <v>3</v>
      </c>
      <c r="B12" s="181"/>
      <c r="C12" s="182" t="s">
        <v>148</v>
      </c>
      <c r="D12" s="74"/>
      <c r="E12" s="183"/>
      <c r="F12" s="74"/>
      <c r="G12" s="127"/>
      <c r="H12" s="35">
        <v>1</v>
      </c>
      <c r="I12" s="184" t="s">
        <v>251</v>
      </c>
      <c r="J12" s="183">
        <v>9000</v>
      </c>
      <c r="K12" s="233">
        <f>H12*J12</f>
        <v>9000</v>
      </c>
      <c r="L12" s="290"/>
    </row>
    <row r="13" spans="1:11" ht="12.75">
      <c r="A13" s="109"/>
      <c r="B13" s="110"/>
      <c r="C13" s="289"/>
      <c r="D13" s="111"/>
      <c r="E13" s="21"/>
      <c r="F13" s="111"/>
      <c r="G13" s="21"/>
      <c r="H13" s="24"/>
      <c r="I13" s="112"/>
      <c r="J13" s="113"/>
      <c r="K13" s="114"/>
    </row>
    <row r="14" spans="1:11" ht="36" customHeight="1">
      <c r="A14" s="46">
        <v>4</v>
      </c>
      <c r="B14" s="43"/>
      <c r="C14" s="54" t="s">
        <v>65</v>
      </c>
      <c r="D14" s="23"/>
      <c r="E14" s="26"/>
      <c r="F14" s="23"/>
      <c r="G14" s="20"/>
      <c r="H14" s="15"/>
      <c r="I14" s="17"/>
      <c r="J14" s="60"/>
      <c r="K14" s="59"/>
    </row>
    <row r="15" spans="1:11" ht="12.75">
      <c r="A15" s="46"/>
      <c r="B15" s="43"/>
      <c r="C15" s="54" t="s">
        <v>245</v>
      </c>
      <c r="D15" s="23"/>
      <c r="E15" s="26"/>
      <c r="F15" s="23"/>
      <c r="G15" s="20"/>
      <c r="H15" s="63">
        <v>490.71</v>
      </c>
      <c r="I15" s="17" t="s">
        <v>243</v>
      </c>
      <c r="J15" s="60"/>
      <c r="K15" s="59"/>
    </row>
    <row r="16" spans="1:11" ht="13.5" thickBot="1">
      <c r="A16" s="46"/>
      <c r="B16" s="43"/>
      <c r="C16" s="54" t="s">
        <v>246</v>
      </c>
      <c r="D16" s="23"/>
      <c r="E16" s="26"/>
      <c r="F16" s="23"/>
      <c r="G16" s="20"/>
      <c r="H16" s="35">
        <v>562.54</v>
      </c>
      <c r="I16" s="17" t="s">
        <v>243</v>
      </c>
      <c r="J16" s="60"/>
      <c r="K16" s="59"/>
    </row>
    <row r="17" spans="1:11" ht="12.75">
      <c r="A17" s="46"/>
      <c r="B17" s="43"/>
      <c r="C17" s="50"/>
      <c r="D17" s="23"/>
      <c r="E17" s="26"/>
      <c r="F17" s="23"/>
      <c r="G17" s="20"/>
      <c r="H17" s="24">
        <f>SUM(H15:H16)</f>
        <v>1053.25</v>
      </c>
      <c r="I17" s="17" t="s">
        <v>243</v>
      </c>
      <c r="J17" s="60">
        <v>9.9</v>
      </c>
      <c r="K17" s="59">
        <f>H17*J17</f>
        <v>10427.175000000001</v>
      </c>
    </row>
    <row r="18" spans="1:11" ht="12.75">
      <c r="A18" s="46"/>
      <c r="B18" s="43"/>
      <c r="C18" s="50"/>
      <c r="D18" s="23"/>
      <c r="E18" s="26"/>
      <c r="F18" s="23"/>
      <c r="G18" s="20"/>
      <c r="H18" s="15"/>
      <c r="I18" s="17"/>
      <c r="J18" s="60"/>
      <c r="K18" s="59"/>
    </row>
    <row r="19" spans="1:11" ht="56.25">
      <c r="A19" s="46">
        <v>5</v>
      </c>
      <c r="B19" s="43"/>
      <c r="C19" s="50" t="s">
        <v>247</v>
      </c>
      <c r="D19" s="23"/>
      <c r="E19" s="26"/>
      <c r="F19" s="23"/>
      <c r="G19" s="20"/>
      <c r="H19" s="15"/>
      <c r="I19" s="17"/>
      <c r="J19" s="60"/>
      <c r="K19" s="59"/>
    </row>
    <row r="20" spans="1:11" ht="12.75">
      <c r="A20" s="46"/>
      <c r="B20" s="43"/>
      <c r="C20" s="54" t="s">
        <v>245</v>
      </c>
      <c r="D20" s="23"/>
      <c r="E20" s="26"/>
      <c r="F20" s="23"/>
      <c r="G20" s="20"/>
      <c r="H20" s="63">
        <v>490.71</v>
      </c>
      <c r="I20" s="17" t="s">
        <v>243</v>
      </c>
      <c r="J20" s="60">
        <f>2.3*5</f>
        <v>11.5</v>
      </c>
      <c r="K20" s="59">
        <f>H20*J20</f>
        <v>5643.165</v>
      </c>
    </row>
    <row r="21" spans="1:11" ht="12.75">
      <c r="A21" s="46"/>
      <c r="B21" s="43"/>
      <c r="C21" s="54" t="s">
        <v>246</v>
      </c>
      <c r="D21" s="23"/>
      <c r="E21" s="26"/>
      <c r="F21" s="23"/>
      <c r="G21" s="20"/>
      <c r="H21" s="15">
        <v>562.54</v>
      </c>
      <c r="I21" s="17" t="s">
        <v>243</v>
      </c>
      <c r="J21" s="60">
        <f>2.3*10</f>
        <v>23</v>
      </c>
      <c r="K21" s="59">
        <f>H21*J21</f>
        <v>12938.419999999998</v>
      </c>
    </row>
    <row r="22" spans="1:11" ht="12.75">
      <c r="A22" s="46"/>
      <c r="B22" s="43"/>
      <c r="C22" s="50"/>
      <c r="D22" s="23"/>
      <c r="E22" s="26"/>
      <c r="F22" s="23"/>
      <c r="G22" s="21"/>
      <c r="H22" s="24"/>
      <c r="I22" s="17"/>
      <c r="J22" s="60"/>
      <c r="K22" s="59"/>
    </row>
    <row r="23" spans="1:11" ht="12.75">
      <c r="A23" s="46"/>
      <c r="B23" s="43"/>
      <c r="C23" s="50"/>
      <c r="D23" s="5"/>
      <c r="E23" s="9"/>
      <c r="F23" s="5"/>
      <c r="G23" s="38"/>
      <c r="H23" s="15"/>
      <c r="I23" s="37"/>
      <c r="J23" s="60"/>
      <c r="K23" s="59"/>
    </row>
    <row r="24" spans="1:11" ht="25.5" customHeight="1">
      <c r="A24" s="46">
        <v>6</v>
      </c>
      <c r="B24" s="43"/>
      <c r="C24" s="50" t="s">
        <v>66</v>
      </c>
      <c r="D24" s="23"/>
      <c r="E24" s="20"/>
      <c r="F24" s="23"/>
      <c r="G24" s="21"/>
      <c r="H24" s="15"/>
      <c r="I24" s="17"/>
      <c r="J24" s="60"/>
      <c r="K24" s="59"/>
    </row>
    <row r="25" spans="1:11" ht="12.75">
      <c r="A25" s="46"/>
      <c r="B25" s="43"/>
      <c r="C25" s="54" t="s">
        <v>245</v>
      </c>
      <c r="D25" s="23"/>
      <c r="E25" s="26"/>
      <c r="F25" s="23"/>
      <c r="G25" s="20"/>
      <c r="H25" s="63">
        <v>490.71</v>
      </c>
      <c r="I25" s="17" t="s">
        <v>243</v>
      </c>
      <c r="J25" s="60"/>
      <c r="K25" s="59"/>
    </row>
    <row r="26" spans="1:11" ht="12.75">
      <c r="A26" s="46"/>
      <c r="B26" s="43"/>
      <c r="C26" s="54" t="s">
        <v>246</v>
      </c>
      <c r="D26" s="23"/>
      <c r="E26" s="26"/>
      <c r="F26" s="23"/>
      <c r="G26" s="20"/>
      <c r="H26" s="15">
        <v>562.54</v>
      </c>
      <c r="I26" s="17" t="s">
        <v>243</v>
      </c>
      <c r="J26" s="60"/>
      <c r="K26" s="59"/>
    </row>
    <row r="27" spans="1:11" ht="33.75" customHeight="1">
      <c r="A27" s="46"/>
      <c r="B27" s="43"/>
      <c r="C27" s="50" t="s">
        <v>307</v>
      </c>
      <c r="D27" s="23"/>
      <c r="E27" s="20"/>
      <c r="F27" s="23"/>
      <c r="G27" s="21"/>
      <c r="H27" s="107">
        <f>-(2.97+13.8+6.85+26.42+15.22+6.48+28.08+39.08+3.38)</f>
        <v>-142.28</v>
      </c>
      <c r="I27" s="17" t="s">
        <v>243</v>
      </c>
      <c r="J27" s="60"/>
      <c r="K27" s="59"/>
    </row>
    <row r="28" spans="1:11" ht="25.5" customHeight="1" thickBot="1">
      <c r="A28" s="46"/>
      <c r="B28" s="43"/>
      <c r="C28" s="50" t="s">
        <v>248</v>
      </c>
      <c r="D28" s="23"/>
      <c r="E28" s="20"/>
      <c r="F28" s="23"/>
      <c r="G28" s="21"/>
      <c r="H28" s="108">
        <f>-(2.97+13.8+21.22+2+4.74+46+7.1)</f>
        <v>-97.82999999999998</v>
      </c>
      <c r="I28" s="17" t="s">
        <v>243</v>
      </c>
      <c r="J28" s="60"/>
      <c r="K28" s="59"/>
    </row>
    <row r="29" spans="1:11" ht="25.5" customHeight="1">
      <c r="A29" s="46"/>
      <c r="B29" s="43"/>
      <c r="C29" s="50"/>
      <c r="D29" s="23"/>
      <c r="E29" s="20"/>
      <c r="F29" s="23"/>
      <c r="G29" s="21"/>
      <c r="H29" s="24">
        <f>SUM(H25:H28)</f>
        <v>813.1400000000001</v>
      </c>
      <c r="I29" s="17" t="s">
        <v>243</v>
      </c>
      <c r="J29" s="60">
        <v>4</v>
      </c>
      <c r="K29" s="59">
        <f>H29*J29</f>
        <v>3252.5600000000004</v>
      </c>
    </row>
    <row r="30" spans="1:11" s="101" customFormat="1" ht="12.75">
      <c r="A30" s="302"/>
      <c r="B30" s="104"/>
      <c r="C30" s="105"/>
      <c r="D30" s="97"/>
      <c r="E30" s="25"/>
      <c r="F30" s="97"/>
      <c r="G30" s="25"/>
      <c r="H30" s="106"/>
      <c r="I30" s="98"/>
      <c r="J30" s="99"/>
      <c r="K30" s="100"/>
    </row>
    <row r="31" spans="1:11" ht="69" customHeight="1">
      <c r="A31" s="46">
        <v>7</v>
      </c>
      <c r="B31" s="43"/>
      <c r="C31" s="54" t="s">
        <v>78</v>
      </c>
      <c r="D31" s="23"/>
      <c r="E31" s="20"/>
      <c r="F31" s="23"/>
      <c r="G31" s="21"/>
      <c r="H31" s="15"/>
      <c r="I31" s="17"/>
      <c r="J31" s="60"/>
      <c r="K31" s="59"/>
    </row>
    <row r="32" spans="1:11" ht="45">
      <c r="A32" s="46"/>
      <c r="B32" s="47"/>
      <c r="C32" s="54" t="s">
        <v>80</v>
      </c>
      <c r="D32" s="23">
        <v>15.57</v>
      </c>
      <c r="E32" s="20">
        <v>0.8</v>
      </c>
      <c r="F32" s="23"/>
      <c r="G32" s="66"/>
      <c r="H32" s="24">
        <f>D32*E32</f>
        <v>12.456000000000001</v>
      </c>
      <c r="I32" s="17" t="s">
        <v>243</v>
      </c>
      <c r="J32" s="60"/>
      <c r="K32" s="59"/>
    </row>
    <row r="33" spans="1:11" ht="22.5">
      <c r="A33" s="46"/>
      <c r="B33" s="43"/>
      <c r="C33" s="51" t="s">
        <v>249</v>
      </c>
      <c r="D33" s="23"/>
      <c r="E33" s="20"/>
      <c r="F33" s="23"/>
      <c r="G33" s="21"/>
      <c r="H33" s="107">
        <f>-H28</f>
        <v>97.82999999999998</v>
      </c>
      <c r="I33" s="17" t="s">
        <v>243</v>
      </c>
      <c r="J33" s="60"/>
      <c r="K33" s="59"/>
    </row>
    <row r="34" spans="1:11" ht="34.5" thickBot="1">
      <c r="A34" s="46"/>
      <c r="B34" s="43"/>
      <c r="C34" s="51" t="s">
        <v>306</v>
      </c>
      <c r="D34" s="23"/>
      <c r="E34" s="20"/>
      <c r="F34" s="23"/>
      <c r="G34" s="21"/>
      <c r="H34" s="108">
        <f>-H27</f>
        <v>142.28</v>
      </c>
      <c r="I34" s="17" t="s">
        <v>243</v>
      </c>
      <c r="J34" s="60"/>
      <c r="K34" s="59"/>
    </row>
    <row r="35" spans="1:11" ht="12.75">
      <c r="A35" s="46"/>
      <c r="B35" s="43"/>
      <c r="C35" s="51"/>
      <c r="D35" s="23"/>
      <c r="E35" s="20"/>
      <c r="F35" s="23"/>
      <c r="G35" s="21"/>
      <c r="H35" s="24">
        <f>SUM(H32:H34)</f>
        <v>252.56599999999997</v>
      </c>
      <c r="I35" s="17" t="s">
        <v>243</v>
      </c>
      <c r="J35" s="60">
        <v>14.29</v>
      </c>
      <c r="K35" s="59">
        <f>H35*J35</f>
        <v>3609.1681399999993</v>
      </c>
    </row>
    <row r="36" spans="1:11" ht="12.75">
      <c r="A36" s="46"/>
      <c r="B36" s="43"/>
      <c r="C36" s="51"/>
      <c r="D36" s="23"/>
      <c r="E36" s="20"/>
      <c r="F36" s="23"/>
      <c r="G36" s="21"/>
      <c r="H36" s="24"/>
      <c r="I36" s="17"/>
      <c r="J36" s="60"/>
      <c r="K36" s="59"/>
    </row>
    <row r="37" spans="1:11" ht="12.75">
      <c r="A37" s="46"/>
      <c r="B37" s="43"/>
      <c r="C37" s="51"/>
      <c r="D37" s="23"/>
      <c r="E37" s="20"/>
      <c r="F37" s="23"/>
      <c r="G37" s="21"/>
      <c r="H37" s="24"/>
      <c r="I37" s="17"/>
      <c r="J37" s="60"/>
      <c r="K37" s="59"/>
    </row>
    <row r="38" spans="1:11" ht="33.75">
      <c r="A38" s="46">
        <v>8</v>
      </c>
      <c r="B38" s="43"/>
      <c r="C38" s="54" t="s">
        <v>308</v>
      </c>
      <c r="D38" s="23"/>
      <c r="E38" s="20"/>
      <c r="F38" s="23"/>
      <c r="G38" s="21"/>
      <c r="H38" s="24"/>
      <c r="I38" s="17"/>
      <c r="J38" s="60"/>
      <c r="K38" s="59"/>
    </row>
    <row r="39" spans="1:11" ht="22.5">
      <c r="A39" s="46"/>
      <c r="B39" s="43"/>
      <c r="C39" s="54" t="s">
        <v>257</v>
      </c>
      <c r="D39" s="23">
        <v>11.6</v>
      </c>
      <c r="E39" s="20"/>
      <c r="F39" s="23">
        <v>1.2</v>
      </c>
      <c r="G39" s="21"/>
      <c r="H39" s="24">
        <f aca="true" t="shared" si="0" ref="H39:H44">D39*F39</f>
        <v>13.92</v>
      </c>
      <c r="I39" s="17" t="s">
        <v>243</v>
      </c>
      <c r="J39" s="60"/>
      <c r="K39" s="59"/>
    </row>
    <row r="40" spans="1:11" ht="12.75">
      <c r="A40" s="46"/>
      <c r="B40" s="43"/>
      <c r="C40" s="55" t="s">
        <v>104</v>
      </c>
      <c r="D40" s="23">
        <v>75.21</v>
      </c>
      <c r="E40" s="20"/>
      <c r="F40" s="23">
        <v>3.64</v>
      </c>
      <c r="G40" s="21"/>
      <c r="H40" s="24">
        <f t="shared" si="0"/>
        <v>273.76439999999997</v>
      </c>
      <c r="I40" s="17" t="s">
        <v>243</v>
      </c>
      <c r="J40" s="60"/>
      <c r="K40" s="59"/>
    </row>
    <row r="41" spans="1:11" ht="12.75">
      <c r="A41" s="46"/>
      <c r="B41" s="43"/>
      <c r="C41" s="55" t="s">
        <v>105</v>
      </c>
      <c r="D41" s="23">
        <v>9.6</v>
      </c>
      <c r="E41" s="20"/>
      <c r="F41" s="23">
        <v>3.48</v>
      </c>
      <c r="G41" s="21"/>
      <c r="H41" s="24">
        <f t="shared" si="0"/>
        <v>33.408</v>
      </c>
      <c r="I41" s="17" t="s">
        <v>243</v>
      </c>
      <c r="J41" s="60"/>
      <c r="K41" s="59"/>
    </row>
    <row r="42" spans="1:11" ht="12.75">
      <c r="A42" s="46"/>
      <c r="B42" s="43"/>
      <c r="C42" s="55" t="s">
        <v>106</v>
      </c>
      <c r="D42" s="23">
        <v>42.77</v>
      </c>
      <c r="E42" s="20"/>
      <c r="F42" s="23">
        <v>4.55</v>
      </c>
      <c r="G42" s="21"/>
      <c r="H42" s="15">
        <f t="shared" si="0"/>
        <v>194.6035</v>
      </c>
      <c r="I42" s="17" t="s">
        <v>243</v>
      </c>
      <c r="J42" s="60"/>
      <c r="K42" s="59"/>
    </row>
    <row r="43" spans="1:11" ht="12.75">
      <c r="A43" s="46"/>
      <c r="B43" s="43"/>
      <c r="C43" s="55" t="s">
        <v>309</v>
      </c>
      <c r="D43" s="23">
        <v>149.34</v>
      </c>
      <c r="E43" s="20"/>
      <c r="F43" s="23">
        <v>3.2</v>
      </c>
      <c r="G43" s="21"/>
      <c r="H43" s="15">
        <f t="shared" si="0"/>
        <v>477.88800000000003</v>
      </c>
      <c r="I43" s="17" t="s">
        <v>243</v>
      </c>
      <c r="J43" s="60"/>
      <c r="K43" s="59"/>
    </row>
    <row r="44" spans="1:11" ht="13.5" thickBot="1">
      <c r="A44" s="46"/>
      <c r="B44" s="43"/>
      <c r="C44" s="55" t="s">
        <v>310</v>
      </c>
      <c r="D44" s="23">
        <v>9.6</v>
      </c>
      <c r="E44" s="20"/>
      <c r="F44" s="23">
        <v>2.98</v>
      </c>
      <c r="G44" s="21"/>
      <c r="H44" s="35">
        <f t="shared" si="0"/>
        <v>28.608</v>
      </c>
      <c r="I44" s="17" t="s">
        <v>243</v>
      </c>
      <c r="J44" s="60"/>
      <c r="K44" s="59"/>
    </row>
    <row r="45" spans="1:11" ht="12.75">
      <c r="A45" s="46"/>
      <c r="B45" s="43"/>
      <c r="C45" s="50"/>
      <c r="D45" s="23"/>
      <c r="E45" s="20"/>
      <c r="F45" s="23"/>
      <c r="G45" s="20"/>
      <c r="H45" s="24">
        <f>SUM(H39:H44)</f>
        <v>1022.1918999999999</v>
      </c>
      <c r="I45" s="17" t="s">
        <v>243</v>
      </c>
      <c r="J45" s="60">
        <v>10</v>
      </c>
      <c r="K45" s="59">
        <f>H45*J45</f>
        <v>10221.919</v>
      </c>
    </row>
    <row r="46" spans="1:11" ht="12.75">
      <c r="A46" s="46"/>
      <c r="B46" s="43"/>
      <c r="C46" s="50"/>
      <c r="D46" s="23"/>
      <c r="E46" s="20"/>
      <c r="F46" s="23"/>
      <c r="G46" s="20"/>
      <c r="H46" s="24"/>
      <c r="I46" s="17"/>
      <c r="J46" s="60"/>
      <c r="K46" s="59"/>
    </row>
    <row r="47" spans="1:11" ht="56.25">
      <c r="A47" s="46">
        <v>9</v>
      </c>
      <c r="B47" s="43"/>
      <c r="C47" s="54" t="s">
        <v>84</v>
      </c>
      <c r="D47" s="23"/>
      <c r="E47" s="20"/>
      <c r="F47" s="23"/>
      <c r="G47" s="20"/>
      <c r="H47" s="24"/>
      <c r="I47" s="17"/>
      <c r="J47" s="60"/>
      <c r="K47" s="59"/>
    </row>
    <row r="48" spans="1:11" ht="22.5">
      <c r="A48" s="46"/>
      <c r="B48" s="336"/>
      <c r="C48" s="50" t="s">
        <v>107</v>
      </c>
      <c r="D48" s="23">
        <v>1.2</v>
      </c>
      <c r="E48" s="20">
        <v>0.2</v>
      </c>
      <c r="F48" s="23">
        <v>2.5</v>
      </c>
      <c r="G48" s="20">
        <v>1.5</v>
      </c>
      <c r="H48" s="24">
        <f aca="true" t="shared" si="1" ref="H48:H53">D48*F48*G48</f>
        <v>4.5</v>
      </c>
      <c r="I48" s="17"/>
      <c r="J48" s="60"/>
      <c r="K48" s="59"/>
    </row>
    <row r="49" spans="1:11" ht="22.5">
      <c r="A49" s="46"/>
      <c r="B49" s="329"/>
      <c r="C49" s="50" t="s">
        <v>108</v>
      </c>
      <c r="D49" s="23">
        <v>1.2</v>
      </c>
      <c r="E49" s="20">
        <v>0.4</v>
      </c>
      <c r="F49" s="23">
        <v>2.5</v>
      </c>
      <c r="G49" s="20">
        <v>4</v>
      </c>
      <c r="H49" s="24">
        <f t="shared" si="1"/>
        <v>12</v>
      </c>
      <c r="I49" s="17"/>
      <c r="J49" s="60"/>
      <c r="K49" s="59"/>
    </row>
    <row r="50" spans="1:11" ht="22.5">
      <c r="A50" s="46"/>
      <c r="B50" s="330"/>
      <c r="C50" s="50" t="s">
        <v>109</v>
      </c>
      <c r="D50" s="23">
        <v>1.4</v>
      </c>
      <c r="E50" s="20">
        <v>0.3</v>
      </c>
      <c r="F50" s="23">
        <v>2.5</v>
      </c>
      <c r="G50" s="20">
        <v>3</v>
      </c>
      <c r="H50" s="15">
        <f t="shared" si="1"/>
        <v>10.5</v>
      </c>
      <c r="I50" s="17"/>
      <c r="J50" s="60"/>
      <c r="K50" s="59"/>
    </row>
    <row r="51" spans="1:11" ht="22.5">
      <c r="A51" s="46"/>
      <c r="B51" s="336"/>
      <c r="C51" s="50" t="s">
        <v>312</v>
      </c>
      <c r="D51" s="23">
        <v>1.2</v>
      </c>
      <c r="E51" s="20">
        <v>0.15</v>
      </c>
      <c r="F51" s="23">
        <v>2.5</v>
      </c>
      <c r="G51" s="20">
        <v>2</v>
      </c>
      <c r="H51" s="15">
        <f t="shared" si="1"/>
        <v>6</v>
      </c>
      <c r="I51" s="17"/>
      <c r="J51" s="60"/>
      <c r="K51" s="59"/>
    </row>
    <row r="52" spans="1:11" ht="22.5">
      <c r="A52" s="46"/>
      <c r="B52" s="329"/>
      <c r="C52" s="50" t="s">
        <v>311</v>
      </c>
      <c r="D52" s="23">
        <v>0.3</v>
      </c>
      <c r="E52" s="20">
        <v>0.2</v>
      </c>
      <c r="F52" s="23">
        <v>2.5</v>
      </c>
      <c r="G52" s="20">
        <v>2</v>
      </c>
      <c r="H52" s="65">
        <f t="shared" si="1"/>
        <v>1.5</v>
      </c>
      <c r="I52" s="17"/>
      <c r="J52" s="60"/>
      <c r="K52" s="59"/>
    </row>
    <row r="53" spans="1:11" ht="23.25" thickBot="1">
      <c r="A53" s="46"/>
      <c r="B53" s="330"/>
      <c r="C53" s="50" t="s">
        <v>313</v>
      </c>
      <c r="D53" s="23">
        <v>1.2</v>
      </c>
      <c r="E53" s="20">
        <v>0.3</v>
      </c>
      <c r="F53" s="23">
        <v>2.5</v>
      </c>
      <c r="G53" s="20">
        <v>3</v>
      </c>
      <c r="H53" s="61">
        <f t="shared" si="1"/>
        <v>9</v>
      </c>
      <c r="I53" s="17"/>
      <c r="J53" s="60"/>
      <c r="K53" s="59"/>
    </row>
    <row r="54" spans="1:11" ht="12.75">
      <c r="A54" s="46"/>
      <c r="B54" s="44"/>
      <c r="C54" s="102"/>
      <c r="D54" s="103"/>
      <c r="E54" s="93"/>
      <c r="F54" s="103"/>
      <c r="G54" s="93"/>
      <c r="H54" s="65">
        <f>SUM(H48:H53)</f>
        <v>43.5</v>
      </c>
      <c r="I54" s="95" t="s">
        <v>243</v>
      </c>
      <c r="J54" s="96">
        <v>18.6</v>
      </c>
      <c r="K54" s="64">
        <f>H54*J54</f>
        <v>809.1</v>
      </c>
    </row>
    <row r="55" spans="1:11" s="8" customFormat="1" ht="12.75">
      <c r="A55" s="303"/>
      <c r="B55" s="43"/>
      <c r="C55" s="50"/>
      <c r="D55" s="23"/>
      <c r="E55" s="20"/>
      <c r="F55" s="23"/>
      <c r="G55" s="20"/>
      <c r="H55" s="15"/>
      <c r="I55" s="17"/>
      <c r="J55" s="60"/>
      <c r="K55" s="59"/>
    </row>
    <row r="56" spans="1:11" ht="36" customHeight="1">
      <c r="A56" s="109">
        <v>10</v>
      </c>
      <c r="B56" s="110"/>
      <c r="C56" s="92" t="s">
        <v>67</v>
      </c>
      <c r="D56" s="111"/>
      <c r="E56" s="21"/>
      <c r="F56" s="111"/>
      <c r="G56" s="21"/>
      <c r="H56" s="24"/>
      <c r="I56" s="112"/>
      <c r="J56" s="113"/>
      <c r="K56" s="114"/>
    </row>
    <row r="57" spans="1:11" ht="22.5" customHeight="1">
      <c r="A57" s="109"/>
      <c r="B57" s="117"/>
      <c r="C57" s="92" t="s">
        <v>316</v>
      </c>
      <c r="D57" s="111"/>
      <c r="E57" s="21"/>
      <c r="F57" s="111"/>
      <c r="G57" s="21"/>
      <c r="H57" s="24">
        <v>13.1</v>
      </c>
      <c r="I57" s="112" t="s">
        <v>243</v>
      </c>
      <c r="J57" s="113"/>
      <c r="K57" s="114"/>
    </row>
    <row r="58" spans="1:11" ht="22.5" customHeight="1" thickBot="1">
      <c r="A58" s="109"/>
      <c r="B58" s="117"/>
      <c r="C58" s="92" t="s">
        <v>315</v>
      </c>
      <c r="D58" s="111"/>
      <c r="E58" s="21"/>
      <c r="F58" s="111"/>
      <c r="G58" s="21"/>
      <c r="H58" s="35">
        <v>13.14</v>
      </c>
      <c r="I58" s="112" t="s">
        <v>243</v>
      </c>
      <c r="J58" s="113"/>
      <c r="K58" s="114"/>
    </row>
    <row r="59" spans="1:11" ht="22.5" customHeight="1">
      <c r="A59" s="109"/>
      <c r="B59" s="110"/>
      <c r="C59" s="92"/>
      <c r="D59" s="111"/>
      <c r="E59" s="21"/>
      <c r="F59" s="111"/>
      <c r="G59" s="21"/>
      <c r="H59" s="24">
        <f>SUM(H57:H58)</f>
        <v>26.240000000000002</v>
      </c>
      <c r="I59" s="112" t="s">
        <v>243</v>
      </c>
      <c r="J59" s="113">
        <v>9.72</v>
      </c>
      <c r="K59" s="114">
        <f>H59*J59</f>
        <v>255.05280000000005</v>
      </c>
    </row>
    <row r="60" spans="1:11" ht="12.75">
      <c r="A60" s="46"/>
      <c r="B60" s="43"/>
      <c r="C60" s="50"/>
      <c r="D60" s="23"/>
      <c r="E60" s="20"/>
      <c r="F60" s="23"/>
      <c r="G60" s="20"/>
      <c r="H60" s="24"/>
      <c r="I60" s="17"/>
      <c r="J60" s="60"/>
      <c r="K60" s="59"/>
    </row>
    <row r="61" spans="1:11" ht="90">
      <c r="A61" s="46">
        <v>11</v>
      </c>
      <c r="B61" s="43"/>
      <c r="C61" s="54" t="s">
        <v>79</v>
      </c>
      <c r="D61" s="23"/>
      <c r="E61" s="20"/>
      <c r="F61" s="23"/>
      <c r="G61" s="20"/>
      <c r="H61" s="24"/>
      <c r="I61" s="17"/>
      <c r="J61" s="60"/>
      <c r="K61" s="59"/>
    </row>
    <row r="62" spans="1:11" ht="12.75">
      <c r="A62" s="46"/>
      <c r="B62" s="329"/>
      <c r="C62" s="331" t="s">
        <v>60</v>
      </c>
      <c r="D62" s="23" t="s">
        <v>317</v>
      </c>
      <c r="E62" s="20">
        <v>0.9</v>
      </c>
      <c r="F62" s="23">
        <v>2.2</v>
      </c>
      <c r="G62" s="20">
        <v>21</v>
      </c>
      <c r="H62" s="24">
        <f aca="true" t="shared" si="2" ref="H62:H75">E62*F62*G62</f>
        <v>41.580000000000005</v>
      </c>
      <c r="I62" s="17" t="s">
        <v>243</v>
      </c>
      <c r="J62" s="60"/>
      <c r="K62" s="59"/>
    </row>
    <row r="63" spans="1:11" ht="12.75">
      <c r="A63" s="46"/>
      <c r="B63" s="329"/>
      <c r="C63" s="332"/>
      <c r="D63" s="23" t="s">
        <v>317</v>
      </c>
      <c r="E63" s="20">
        <v>0.7</v>
      </c>
      <c r="F63" s="23">
        <v>2.2</v>
      </c>
      <c r="G63" s="20">
        <v>8</v>
      </c>
      <c r="H63" s="24">
        <f t="shared" si="2"/>
        <v>12.32</v>
      </c>
      <c r="I63" s="17" t="s">
        <v>243</v>
      </c>
      <c r="J63" s="60"/>
      <c r="K63" s="59"/>
    </row>
    <row r="64" spans="1:11" ht="12.75">
      <c r="A64" s="46"/>
      <c r="B64" s="329"/>
      <c r="C64" s="333"/>
      <c r="D64" s="23" t="s">
        <v>317</v>
      </c>
      <c r="E64" s="20">
        <v>0.8</v>
      </c>
      <c r="F64" s="23">
        <v>2.2</v>
      </c>
      <c r="G64" s="20">
        <v>2</v>
      </c>
      <c r="H64" s="15">
        <f t="shared" si="2"/>
        <v>3.5200000000000005</v>
      </c>
      <c r="I64" s="17" t="s">
        <v>243</v>
      </c>
      <c r="J64" s="60"/>
      <c r="K64" s="59"/>
    </row>
    <row r="65" spans="1:11" ht="12.75">
      <c r="A65" s="46"/>
      <c r="B65" s="329"/>
      <c r="C65" s="50" t="s">
        <v>320</v>
      </c>
      <c r="D65" s="23" t="s">
        <v>317</v>
      </c>
      <c r="E65" s="20">
        <v>6.65</v>
      </c>
      <c r="F65" s="23">
        <v>2</v>
      </c>
      <c r="G65" s="20">
        <v>1</v>
      </c>
      <c r="H65" s="15">
        <f t="shared" si="2"/>
        <v>13.3</v>
      </c>
      <c r="I65" s="17" t="s">
        <v>243</v>
      </c>
      <c r="J65" s="60"/>
      <c r="K65" s="59"/>
    </row>
    <row r="66" spans="1:11" ht="22.5">
      <c r="A66" s="46"/>
      <c r="B66" s="330"/>
      <c r="C66" s="50" t="s">
        <v>318</v>
      </c>
      <c r="D66" s="23" t="s">
        <v>317</v>
      </c>
      <c r="E66" s="20">
        <v>6.03</v>
      </c>
      <c r="F66" s="23">
        <v>4.1</v>
      </c>
      <c r="G66" s="20">
        <v>1</v>
      </c>
      <c r="H66" s="15">
        <f t="shared" si="2"/>
        <v>24.723</v>
      </c>
      <c r="I66" s="17" t="s">
        <v>243</v>
      </c>
      <c r="J66" s="60"/>
      <c r="K66" s="59"/>
    </row>
    <row r="67" spans="1:11" ht="12.75">
      <c r="A67" s="46"/>
      <c r="B67" s="329"/>
      <c r="C67" s="122" t="s">
        <v>35</v>
      </c>
      <c r="D67" s="23" t="s">
        <v>317</v>
      </c>
      <c r="E67" s="20"/>
      <c r="F67" s="23"/>
      <c r="G67" s="20"/>
      <c r="H67" s="24">
        <v>48.21</v>
      </c>
      <c r="I67" s="17" t="s">
        <v>243</v>
      </c>
      <c r="J67" s="60"/>
      <c r="K67" s="59"/>
    </row>
    <row r="68" spans="1:11" ht="12.75">
      <c r="A68" s="46"/>
      <c r="B68" s="329"/>
      <c r="C68" s="122" t="s">
        <v>112</v>
      </c>
      <c r="D68" s="23" t="s">
        <v>317</v>
      </c>
      <c r="E68" s="20">
        <v>1.1</v>
      </c>
      <c r="F68" s="23">
        <v>2.2</v>
      </c>
      <c r="G68" s="20">
        <v>1</v>
      </c>
      <c r="H68" s="24">
        <f>E68*F68*G68</f>
        <v>2.4200000000000004</v>
      </c>
      <c r="I68" s="17" t="s">
        <v>243</v>
      </c>
      <c r="J68" s="60"/>
      <c r="K68" s="59"/>
    </row>
    <row r="69" spans="1:11" ht="12.75">
      <c r="A69" s="46"/>
      <c r="B69" s="329"/>
      <c r="C69" s="122" t="s">
        <v>33</v>
      </c>
      <c r="D69" s="23" t="s">
        <v>317</v>
      </c>
      <c r="E69" s="20"/>
      <c r="F69" s="23"/>
      <c r="G69" s="20"/>
      <c r="H69" s="115">
        <f>(2*1.2*2.4)+(1.85*1.5)+(0.65*1.5)+(1.2*1.5)+(0.6*1.5)+(1.2+0.6+1.2+0.6)*1.5+1.2*2.4</f>
        <v>20.49</v>
      </c>
      <c r="I69" s="17" t="s">
        <v>243</v>
      </c>
      <c r="J69" s="60"/>
      <c r="K69" s="59"/>
    </row>
    <row r="70" spans="1:11" ht="12.75">
      <c r="A70" s="46"/>
      <c r="B70" s="329"/>
      <c r="C70" s="122" t="s">
        <v>34</v>
      </c>
      <c r="D70" s="23" t="s">
        <v>317</v>
      </c>
      <c r="E70" s="20"/>
      <c r="F70" s="23"/>
      <c r="G70" s="20"/>
      <c r="H70" s="115">
        <f>(1.2+1.9+1.9+1.9+1.9+1.9+1.2)*1.5+6*0.6*1.5</f>
        <v>23.25</v>
      </c>
      <c r="I70" s="17" t="s">
        <v>243</v>
      </c>
      <c r="J70" s="60"/>
      <c r="K70" s="59"/>
    </row>
    <row r="71" spans="1:11" ht="12.75">
      <c r="A71" s="46"/>
      <c r="B71" s="336"/>
      <c r="C71" s="331" t="s">
        <v>60</v>
      </c>
      <c r="D71" s="23" t="s">
        <v>319</v>
      </c>
      <c r="E71" s="20">
        <v>0.9</v>
      </c>
      <c r="F71" s="23">
        <v>2.2</v>
      </c>
      <c r="G71" s="20">
        <v>28</v>
      </c>
      <c r="H71" s="24">
        <f t="shared" si="2"/>
        <v>55.440000000000005</v>
      </c>
      <c r="I71" s="17" t="s">
        <v>243</v>
      </c>
      <c r="J71" s="60"/>
      <c r="K71" s="59"/>
    </row>
    <row r="72" spans="1:11" ht="12.75">
      <c r="A72" s="46"/>
      <c r="B72" s="329"/>
      <c r="C72" s="332"/>
      <c r="D72" s="23" t="s">
        <v>319</v>
      </c>
      <c r="E72" s="20">
        <v>0.7</v>
      </c>
      <c r="F72" s="23">
        <v>2.2</v>
      </c>
      <c r="G72" s="20">
        <v>10</v>
      </c>
      <c r="H72" s="24">
        <f t="shared" si="2"/>
        <v>15.4</v>
      </c>
      <c r="I72" s="17" t="s">
        <v>243</v>
      </c>
      <c r="J72" s="60"/>
      <c r="K72" s="59"/>
    </row>
    <row r="73" spans="1:11" ht="12.75">
      <c r="A73" s="46"/>
      <c r="B73" s="329"/>
      <c r="C73" s="333"/>
      <c r="D73" s="23" t="s">
        <v>319</v>
      </c>
      <c r="E73" s="20">
        <v>0.8</v>
      </c>
      <c r="F73" s="23">
        <v>2.2</v>
      </c>
      <c r="G73" s="20">
        <v>2</v>
      </c>
      <c r="H73" s="24">
        <f t="shared" si="2"/>
        <v>3.5200000000000005</v>
      </c>
      <c r="I73" s="17" t="s">
        <v>243</v>
      </c>
      <c r="J73" s="60"/>
      <c r="K73" s="59"/>
    </row>
    <row r="74" spans="1:11" ht="12.75">
      <c r="A74" s="46"/>
      <c r="B74" s="329"/>
      <c r="C74" s="50" t="s">
        <v>320</v>
      </c>
      <c r="D74" s="23" t="s">
        <v>319</v>
      </c>
      <c r="E74" s="20">
        <v>1</v>
      </c>
      <c r="F74" s="23">
        <v>2</v>
      </c>
      <c r="G74" s="20">
        <v>1</v>
      </c>
      <c r="H74" s="24">
        <f t="shared" si="2"/>
        <v>2</v>
      </c>
      <c r="I74" s="17" t="s">
        <v>243</v>
      </c>
      <c r="J74" s="60"/>
      <c r="K74" s="59"/>
    </row>
    <row r="75" spans="1:11" ht="12.75">
      <c r="A75" s="46"/>
      <c r="B75" s="329"/>
      <c r="C75" s="50" t="s">
        <v>321</v>
      </c>
      <c r="D75" s="23" t="s">
        <v>319</v>
      </c>
      <c r="E75" s="20">
        <v>2.85</v>
      </c>
      <c r="F75" s="23">
        <v>3.12</v>
      </c>
      <c r="G75" s="20">
        <v>1</v>
      </c>
      <c r="H75" s="24">
        <f t="shared" si="2"/>
        <v>8.892000000000001</v>
      </c>
      <c r="I75" s="17" t="s">
        <v>243</v>
      </c>
      <c r="J75" s="60"/>
      <c r="K75" s="59"/>
    </row>
    <row r="76" spans="1:11" ht="22.5">
      <c r="A76" s="46"/>
      <c r="B76" s="337"/>
      <c r="C76" s="122" t="s">
        <v>36</v>
      </c>
      <c r="D76" s="23" t="s">
        <v>319</v>
      </c>
      <c r="E76" s="20">
        <v>64.6</v>
      </c>
      <c r="F76" s="23"/>
      <c r="G76" s="20">
        <v>2</v>
      </c>
      <c r="H76" s="115">
        <f>E76*G76</f>
        <v>129.2</v>
      </c>
      <c r="I76" s="17" t="s">
        <v>243</v>
      </c>
      <c r="J76" s="60"/>
      <c r="K76" s="59"/>
    </row>
    <row r="77" spans="1:11" ht="12.75">
      <c r="A77" s="46"/>
      <c r="B77" s="337"/>
      <c r="C77" s="122" t="s">
        <v>111</v>
      </c>
      <c r="D77" s="23" t="s">
        <v>319</v>
      </c>
      <c r="E77" s="20">
        <v>0.8</v>
      </c>
      <c r="F77" s="23">
        <v>2.2</v>
      </c>
      <c r="G77" s="20">
        <v>1</v>
      </c>
      <c r="H77" s="115">
        <f>E77*G77*F77</f>
        <v>1.7600000000000002</v>
      </c>
      <c r="I77" s="17" t="s">
        <v>243</v>
      </c>
      <c r="J77" s="60"/>
      <c r="K77" s="59"/>
    </row>
    <row r="78" spans="1:11" ht="12.75">
      <c r="A78" s="46"/>
      <c r="B78" s="337"/>
      <c r="C78" s="122" t="s">
        <v>33</v>
      </c>
      <c r="D78" s="23" t="s">
        <v>319</v>
      </c>
      <c r="E78" s="20"/>
      <c r="F78" s="23"/>
      <c r="G78" s="20"/>
      <c r="H78" s="115">
        <f>(1.2+0.6+0.7+0.6+1.2+1.2+0.6+0.7+0.6+1.2+0.6+0.6+3.3)*1.5+(2*1.2*2.4)</f>
        <v>25.409999999999997</v>
      </c>
      <c r="I78" s="17" t="s">
        <v>243</v>
      </c>
      <c r="J78" s="60"/>
      <c r="K78" s="59"/>
    </row>
    <row r="79" spans="1:11" ht="13.5" thickBot="1">
      <c r="A79" s="46"/>
      <c r="B79" s="337"/>
      <c r="C79" s="122" t="s">
        <v>34</v>
      </c>
      <c r="D79" s="23" t="s">
        <v>319</v>
      </c>
      <c r="E79" s="20"/>
      <c r="F79" s="23"/>
      <c r="G79" s="20"/>
      <c r="H79" s="108">
        <f>(1.2+1.9+1.9+1.2)*1.5+(6*0.6*1.5)+(3*1.9*2.4)</f>
        <v>28.379999999999995</v>
      </c>
      <c r="I79" s="17" t="s">
        <v>243</v>
      </c>
      <c r="J79" s="60"/>
      <c r="K79" s="59"/>
    </row>
    <row r="80" spans="1:11" ht="12.75">
      <c r="A80" s="46"/>
      <c r="B80" s="119"/>
      <c r="C80" s="122"/>
      <c r="D80" s="23"/>
      <c r="E80" s="20"/>
      <c r="F80" s="23"/>
      <c r="G80" s="20"/>
      <c r="H80" s="24">
        <f>SUM(H62:H79)</f>
        <v>459.81499999999994</v>
      </c>
      <c r="I80" s="17" t="s">
        <v>243</v>
      </c>
      <c r="J80" s="60">
        <v>21.07</v>
      </c>
      <c r="K80" s="59">
        <f>H80*J80</f>
        <v>9688.302049999998</v>
      </c>
    </row>
    <row r="81" spans="1:11" ht="12.75">
      <c r="A81" s="46"/>
      <c r="B81" s="119"/>
      <c r="C81" s="122"/>
      <c r="D81" s="23"/>
      <c r="E81" s="20"/>
      <c r="F81" s="23"/>
      <c r="G81" s="20"/>
      <c r="H81" s="24"/>
      <c r="I81" s="17"/>
      <c r="J81" s="60"/>
      <c r="K81" s="59"/>
    </row>
    <row r="82" spans="1:11" ht="56.25">
      <c r="A82" s="46">
        <v>12</v>
      </c>
      <c r="B82" s="154"/>
      <c r="C82" s="122" t="s">
        <v>110</v>
      </c>
      <c r="D82" s="23"/>
      <c r="E82" s="20"/>
      <c r="F82" s="23"/>
      <c r="G82" s="20"/>
      <c r="H82" s="24"/>
      <c r="I82" s="17"/>
      <c r="J82" s="60"/>
      <c r="K82" s="59"/>
    </row>
    <row r="83" spans="1:11" ht="12.75">
      <c r="A83" s="260"/>
      <c r="B83" s="336"/>
      <c r="C83" s="122" t="s">
        <v>33</v>
      </c>
      <c r="D83" s="23" t="s">
        <v>317</v>
      </c>
      <c r="E83" s="20"/>
      <c r="F83" s="23"/>
      <c r="G83" s="20"/>
      <c r="H83" s="115">
        <f>(2*1.2*2.7)+(1.85*1.8)+(0.65*1.8)+(1.2*1.8)+(0.6*1.8)+(1.2+0.6+1.2+0.6)*1.8+1.2*2.7</f>
        <v>23.940000000000005</v>
      </c>
      <c r="I83" s="17" t="s">
        <v>243</v>
      </c>
      <c r="J83" s="60"/>
      <c r="K83" s="59"/>
    </row>
    <row r="84" spans="1:11" ht="24.75" customHeight="1">
      <c r="A84" s="260"/>
      <c r="B84" s="329"/>
      <c r="C84" s="122" t="s">
        <v>34</v>
      </c>
      <c r="D84" s="23" t="s">
        <v>317</v>
      </c>
      <c r="E84" s="20"/>
      <c r="F84" s="23"/>
      <c r="G84" s="20"/>
      <c r="H84" s="115">
        <f>(1.2+1.9+1.9+1.9+1.9+1.9+1.2)*1.8+6*0.6*1.8</f>
        <v>27.900000000000002</v>
      </c>
      <c r="I84" s="17" t="s">
        <v>243</v>
      </c>
      <c r="J84" s="60"/>
      <c r="K84" s="59"/>
    </row>
    <row r="85" spans="1:11" ht="24.75" customHeight="1">
      <c r="A85" s="260"/>
      <c r="B85" s="338"/>
      <c r="C85" s="122" t="s">
        <v>38</v>
      </c>
      <c r="D85" s="23" t="s">
        <v>317</v>
      </c>
      <c r="E85" s="20"/>
      <c r="F85" s="23"/>
      <c r="G85" s="20"/>
      <c r="H85" s="24">
        <v>11.66</v>
      </c>
      <c r="I85" s="17" t="s">
        <v>243</v>
      </c>
      <c r="J85" s="60"/>
      <c r="K85" s="59"/>
    </row>
    <row r="86" spans="1:11" ht="22.5">
      <c r="A86" s="260"/>
      <c r="B86" s="343"/>
      <c r="C86" s="122" t="s">
        <v>36</v>
      </c>
      <c r="D86" s="23" t="s">
        <v>319</v>
      </c>
      <c r="E86" s="20"/>
      <c r="F86" s="23"/>
      <c r="G86" s="20"/>
      <c r="H86" s="115">
        <f>E86*G86</f>
        <v>0</v>
      </c>
      <c r="I86" s="17" t="s">
        <v>243</v>
      </c>
      <c r="J86" s="60"/>
      <c r="K86" s="59"/>
    </row>
    <row r="87" spans="1:11" ht="12.75">
      <c r="A87" s="260"/>
      <c r="B87" s="343"/>
      <c r="C87" s="122" t="s">
        <v>33</v>
      </c>
      <c r="D87" s="23" t="s">
        <v>319</v>
      </c>
      <c r="E87" s="20"/>
      <c r="F87" s="23"/>
      <c r="G87" s="20"/>
      <c r="H87" s="115">
        <f>(1.2+0.6+0.7+0.6+1.2+1.2+0.6+0.7+0.6+1.2+0.6+0.6+3.3)*1.8+(2*1.2*2.7)</f>
        <v>30.06</v>
      </c>
      <c r="I87" s="17" t="s">
        <v>243</v>
      </c>
      <c r="J87" s="60"/>
      <c r="K87" s="59"/>
    </row>
    <row r="88" spans="1:11" ht="13.5" thickBot="1">
      <c r="A88" s="109"/>
      <c r="B88" s="343"/>
      <c r="C88" s="122" t="s">
        <v>34</v>
      </c>
      <c r="D88" s="23" t="s">
        <v>319</v>
      </c>
      <c r="E88" s="20"/>
      <c r="F88" s="23"/>
      <c r="G88" s="20"/>
      <c r="H88" s="108">
        <f>(1.2+1.9+1.9+1.2)*1.8+(6*0.6*1.8)+(3*1.9*2.7)</f>
        <v>33.03</v>
      </c>
      <c r="I88" s="17" t="s">
        <v>243</v>
      </c>
      <c r="J88" s="60"/>
      <c r="K88" s="59"/>
    </row>
    <row r="89" spans="1:11" ht="12.75">
      <c r="A89" s="109"/>
      <c r="B89" s="119"/>
      <c r="C89" s="122"/>
      <c r="D89" s="23"/>
      <c r="E89" s="20"/>
      <c r="F89" s="23"/>
      <c r="G89" s="20"/>
      <c r="H89" s="24">
        <f>SUM(H83:H88)</f>
        <v>126.59</v>
      </c>
      <c r="I89" s="17" t="s">
        <v>243</v>
      </c>
      <c r="J89" s="60">
        <v>23.66</v>
      </c>
      <c r="K89" s="59">
        <f>H89*J89</f>
        <v>2995.1194</v>
      </c>
    </row>
    <row r="90" spans="1:11" ht="12.75">
      <c r="A90" s="109"/>
      <c r="B90" s="119"/>
      <c r="C90" s="122"/>
      <c r="D90" s="23"/>
      <c r="E90" s="20"/>
      <c r="F90" s="23"/>
      <c r="G90" s="20"/>
      <c r="H90" s="24"/>
      <c r="I90" s="17"/>
      <c r="J90" s="60"/>
      <c r="K90" s="59"/>
    </row>
    <row r="91" spans="1:11" ht="42" customHeight="1">
      <c r="A91" s="46">
        <v>13</v>
      </c>
      <c r="B91" s="154"/>
      <c r="C91" s="122" t="s">
        <v>37</v>
      </c>
      <c r="D91" s="23"/>
      <c r="E91" s="20"/>
      <c r="F91" s="23"/>
      <c r="G91" s="20"/>
      <c r="H91" s="24"/>
      <c r="I91" s="17"/>
      <c r="J91" s="60"/>
      <c r="K91" s="59"/>
    </row>
    <row r="92" spans="1:11" ht="12.75">
      <c r="A92" s="109"/>
      <c r="B92" s="336"/>
      <c r="C92" s="122" t="s">
        <v>35</v>
      </c>
      <c r="D92" s="23" t="s">
        <v>317</v>
      </c>
      <c r="E92" s="20"/>
      <c r="F92" s="23"/>
      <c r="G92" s="20"/>
      <c r="H92" s="24">
        <v>60.65</v>
      </c>
      <c r="I92" s="17" t="s">
        <v>243</v>
      </c>
      <c r="J92" s="60"/>
      <c r="K92" s="59"/>
    </row>
    <row r="93" spans="1:11" ht="27" customHeight="1" thickBot="1">
      <c r="A93" s="109"/>
      <c r="B93" s="338"/>
      <c r="C93" s="122" t="s">
        <v>39</v>
      </c>
      <c r="D93" s="23" t="s">
        <v>317</v>
      </c>
      <c r="E93" s="20"/>
      <c r="F93" s="23"/>
      <c r="G93" s="20"/>
      <c r="H93" s="35">
        <v>11.66</v>
      </c>
      <c r="I93" s="17" t="s">
        <v>243</v>
      </c>
      <c r="J93" s="60"/>
      <c r="K93" s="59"/>
    </row>
    <row r="94" spans="1:11" ht="12.75">
      <c r="A94" s="109"/>
      <c r="B94" s="116"/>
      <c r="C94" s="122"/>
      <c r="D94" s="23"/>
      <c r="E94" s="20"/>
      <c r="F94" s="23"/>
      <c r="G94" s="20"/>
      <c r="H94" s="24">
        <f>SUM(H92:H93)</f>
        <v>72.31</v>
      </c>
      <c r="I94" s="17" t="s">
        <v>243</v>
      </c>
      <c r="J94" s="60">
        <v>20.7</v>
      </c>
      <c r="K94" s="59">
        <f>H94*J94</f>
        <v>1496.817</v>
      </c>
    </row>
    <row r="95" spans="1:11" ht="12.75">
      <c r="A95" s="109"/>
      <c r="B95" s="119"/>
      <c r="C95" s="122"/>
      <c r="D95" s="23"/>
      <c r="E95" s="20"/>
      <c r="F95" s="23"/>
      <c r="G95" s="20"/>
      <c r="H95" s="115"/>
      <c r="I95" s="17"/>
      <c r="J95" s="60"/>
      <c r="K95" s="59"/>
    </row>
    <row r="96" spans="1:11" ht="59.25" customHeight="1">
      <c r="A96" s="46">
        <v>14</v>
      </c>
      <c r="B96" s="43"/>
      <c r="C96" s="54" t="s">
        <v>68</v>
      </c>
      <c r="D96" s="23"/>
      <c r="E96" s="20"/>
      <c r="F96" s="23"/>
      <c r="G96" s="20"/>
      <c r="H96" s="24"/>
      <c r="I96" s="17"/>
      <c r="J96" s="60"/>
      <c r="K96" s="59"/>
    </row>
    <row r="97" spans="1:11" ht="12.75">
      <c r="A97" s="46"/>
      <c r="B97" s="336"/>
      <c r="C97" s="36" t="s">
        <v>61</v>
      </c>
      <c r="D97" s="23">
        <v>8.55</v>
      </c>
      <c r="E97" s="20"/>
      <c r="F97" s="23">
        <v>2.2</v>
      </c>
      <c r="G97" s="20">
        <v>1</v>
      </c>
      <c r="H97" s="24">
        <f aca="true" t="shared" si="3" ref="H97:H113">D97*F97*G97</f>
        <v>18.810000000000002</v>
      </c>
      <c r="I97" s="17" t="s">
        <v>243</v>
      </c>
      <c r="J97" s="60"/>
      <c r="K97" s="59"/>
    </row>
    <row r="98" spans="1:11" ht="12.75">
      <c r="A98" s="46"/>
      <c r="B98" s="329"/>
      <c r="C98" s="36" t="s">
        <v>62</v>
      </c>
      <c r="D98" s="23">
        <v>6.1</v>
      </c>
      <c r="E98" s="20"/>
      <c r="F98" s="23">
        <v>2.2</v>
      </c>
      <c r="G98" s="20">
        <v>6</v>
      </c>
      <c r="H98" s="24">
        <f t="shared" si="3"/>
        <v>80.52</v>
      </c>
      <c r="I98" s="17" t="s">
        <v>243</v>
      </c>
      <c r="J98" s="60"/>
      <c r="K98" s="59"/>
    </row>
    <row r="99" spans="1:11" ht="12.75">
      <c r="A99" s="46"/>
      <c r="B99" s="329"/>
      <c r="C99" s="55" t="s">
        <v>40</v>
      </c>
      <c r="D99" s="23">
        <v>5.45</v>
      </c>
      <c r="E99" s="20"/>
      <c r="F99" s="23">
        <v>2.2</v>
      </c>
      <c r="G99" s="20">
        <v>1</v>
      </c>
      <c r="H99" s="24">
        <f t="shared" si="3"/>
        <v>11.990000000000002</v>
      </c>
      <c r="I99" s="17" t="s">
        <v>243</v>
      </c>
      <c r="J99" s="60"/>
      <c r="K99" s="59"/>
    </row>
    <row r="100" spans="1:11" ht="12.75">
      <c r="A100" s="46"/>
      <c r="B100" s="329"/>
      <c r="C100" s="55" t="s">
        <v>41</v>
      </c>
      <c r="D100" s="23">
        <v>4.9</v>
      </c>
      <c r="E100" s="20"/>
      <c r="F100" s="23">
        <v>2.2</v>
      </c>
      <c r="G100" s="20">
        <v>1</v>
      </c>
      <c r="H100" s="24">
        <f t="shared" si="3"/>
        <v>10.780000000000001</v>
      </c>
      <c r="I100" s="17" t="s">
        <v>243</v>
      </c>
      <c r="J100" s="60"/>
      <c r="K100" s="59"/>
    </row>
    <row r="101" spans="1:11" ht="13.5" thickBot="1">
      <c r="A101" s="46"/>
      <c r="B101" s="330"/>
      <c r="C101" s="125" t="s">
        <v>42</v>
      </c>
      <c r="D101" s="126">
        <v>7.65</v>
      </c>
      <c r="E101" s="127"/>
      <c r="F101" s="126">
        <v>2.2</v>
      </c>
      <c r="G101" s="127">
        <v>1</v>
      </c>
      <c r="H101" s="35">
        <f t="shared" si="3"/>
        <v>16.830000000000002</v>
      </c>
      <c r="I101" s="128" t="s">
        <v>243</v>
      </c>
      <c r="J101" s="60"/>
      <c r="K101" s="59"/>
    </row>
    <row r="102" spans="1:11" ht="12.75">
      <c r="A102" s="46"/>
      <c r="B102" s="336"/>
      <c r="C102" s="36" t="s">
        <v>61</v>
      </c>
      <c r="D102" s="23">
        <v>8.55</v>
      </c>
      <c r="E102" s="20"/>
      <c r="F102" s="23">
        <v>2.2</v>
      </c>
      <c r="G102" s="20">
        <v>1</v>
      </c>
      <c r="H102" s="129">
        <f t="shared" si="3"/>
        <v>18.810000000000002</v>
      </c>
      <c r="I102" s="112" t="s">
        <v>243</v>
      </c>
      <c r="J102" s="60"/>
      <c r="K102" s="59"/>
    </row>
    <row r="103" spans="1:11" ht="12.75">
      <c r="A103" s="46"/>
      <c r="B103" s="329"/>
      <c r="C103" s="36" t="s">
        <v>62</v>
      </c>
      <c r="D103" s="23">
        <v>6.1</v>
      </c>
      <c r="E103" s="20"/>
      <c r="F103" s="23">
        <v>2.2</v>
      </c>
      <c r="G103" s="20">
        <v>6</v>
      </c>
      <c r="H103" s="15">
        <f t="shared" si="3"/>
        <v>80.52</v>
      </c>
      <c r="I103" s="112" t="s">
        <v>243</v>
      </c>
      <c r="J103" s="60"/>
      <c r="K103" s="59"/>
    </row>
    <row r="104" spans="1:11" ht="12.75">
      <c r="A104" s="46"/>
      <c r="B104" s="329"/>
      <c r="C104" s="55" t="s">
        <v>40</v>
      </c>
      <c r="D104" s="23">
        <v>10.75</v>
      </c>
      <c r="E104" s="20"/>
      <c r="F104" s="23">
        <v>1.6</v>
      </c>
      <c r="G104" s="20">
        <v>1</v>
      </c>
      <c r="H104" s="15">
        <f t="shared" si="3"/>
        <v>17.2</v>
      </c>
      <c r="I104" s="112" t="s">
        <v>243</v>
      </c>
      <c r="J104" s="60"/>
      <c r="K104" s="59"/>
    </row>
    <row r="105" spans="1:11" ht="12.75">
      <c r="A105" s="46"/>
      <c r="B105" s="329"/>
      <c r="C105" s="55" t="s">
        <v>41</v>
      </c>
      <c r="D105" s="23">
        <v>5.4</v>
      </c>
      <c r="E105" s="20"/>
      <c r="F105" s="23">
        <v>2.2</v>
      </c>
      <c r="G105" s="20">
        <v>1</v>
      </c>
      <c r="H105" s="15">
        <f t="shared" si="3"/>
        <v>11.880000000000003</v>
      </c>
      <c r="I105" s="112" t="s">
        <v>243</v>
      </c>
      <c r="J105" s="60"/>
      <c r="K105" s="59"/>
    </row>
    <row r="106" spans="1:11" ht="12.75">
      <c r="A106" s="46"/>
      <c r="B106" s="329"/>
      <c r="C106" s="55" t="s">
        <v>42</v>
      </c>
      <c r="D106" s="23">
        <v>9.47</v>
      </c>
      <c r="E106" s="20"/>
      <c r="F106" s="23">
        <v>2.2</v>
      </c>
      <c r="G106" s="20">
        <v>1</v>
      </c>
      <c r="H106" s="15">
        <f t="shared" si="3"/>
        <v>20.834000000000003</v>
      </c>
      <c r="I106" s="112" t="s">
        <v>243</v>
      </c>
      <c r="J106" s="60"/>
      <c r="K106" s="59"/>
    </row>
    <row r="107" spans="1:11" ht="12.75">
      <c r="A107" s="46"/>
      <c r="B107" s="329"/>
      <c r="C107" s="55" t="s">
        <v>43</v>
      </c>
      <c r="D107" s="23">
        <v>5.08</v>
      </c>
      <c r="E107" s="20"/>
      <c r="F107" s="23">
        <v>2.2</v>
      </c>
      <c r="G107" s="20">
        <v>1</v>
      </c>
      <c r="H107" s="15">
        <f t="shared" si="3"/>
        <v>11.176000000000002</v>
      </c>
      <c r="I107" s="112" t="s">
        <v>243</v>
      </c>
      <c r="J107" s="60"/>
      <c r="K107" s="59"/>
    </row>
    <row r="108" spans="1:11" ht="12.75">
      <c r="A108" s="46"/>
      <c r="B108" s="329"/>
      <c r="C108" s="55" t="s">
        <v>44</v>
      </c>
      <c r="D108" s="23">
        <v>5.42</v>
      </c>
      <c r="E108" s="20"/>
      <c r="F108" s="23">
        <v>2.2</v>
      </c>
      <c r="G108" s="20">
        <v>1</v>
      </c>
      <c r="H108" s="15">
        <f t="shared" si="3"/>
        <v>11.924000000000001</v>
      </c>
      <c r="I108" s="112" t="s">
        <v>243</v>
      </c>
      <c r="J108" s="60"/>
      <c r="K108" s="59"/>
    </row>
    <row r="109" spans="1:11" ht="12.75">
      <c r="A109" s="46"/>
      <c r="B109" s="329"/>
      <c r="C109" s="55" t="s">
        <v>45</v>
      </c>
      <c r="D109" s="23">
        <v>5.42</v>
      </c>
      <c r="E109" s="20"/>
      <c r="F109" s="23">
        <v>2.2</v>
      </c>
      <c r="G109" s="20">
        <v>1</v>
      </c>
      <c r="H109" s="15">
        <f t="shared" si="3"/>
        <v>11.924000000000001</v>
      </c>
      <c r="I109" s="112" t="s">
        <v>243</v>
      </c>
      <c r="J109" s="60"/>
      <c r="K109" s="59"/>
    </row>
    <row r="110" spans="1:11" ht="12.75">
      <c r="A110" s="46"/>
      <c r="B110" s="329"/>
      <c r="C110" s="55" t="s">
        <v>46</v>
      </c>
      <c r="D110" s="23">
        <v>9.32</v>
      </c>
      <c r="E110" s="20"/>
      <c r="F110" s="23">
        <v>2.2</v>
      </c>
      <c r="G110" s="20">
        <v>1</v>
      </c>
      <c r="H110" s="15">
        <f t="shared" si="3"/>
        <v>20.504</v>
      </c>
      <c r="I110" s="112" t="s">
        <v>243</v>
      </c>
      <c r="J110" s="60"/>
      <c r="K110" s="59"/>
    </row>
    <row r="111" spans="1:11" ht="12.75">
      <c r="A111" s="46"/>
      <c r="B111" s="329"/>
      <c r="C111" s="55" t="s">
        <v>47</v>
      </c>
      <c r="D111" s="23">
        <v>7.65</v>
      </c>
      <c r="E111" s="20"/>
      <c r="F111" s="23">
        <v>2.2</v>
      </c>
      <c r="G111" s="20">
        <v>1</v>
      </c>
      <c r="H111" s="15">
        <f t="shared" si="3"/>
        <v>16.830000000000002</v>
      </c>
      <c r="I111" s="112" t="s">
        <v>243</v>
      </c>
      <c r="J111" s="60"/>
      <c r="K111" s="59"/>
    </row>
    <row r="112" spans="1:11" ht="12.75">
      <c r="A112" s="46"/>
      <c r="B112" s="329"/>
      <c r="C112" s="55" t="s">
        <v>48</v>
      </c>
      <c r="D112" s="23">
        <v>6.8</v>
      </c>
      <c r="E112" s="20"/>
      <c r="F112" s="23">
        <v>2.2</v>
      </c>
      <c r="G112" s="20">
        <v>1</v>
      </c>
      <c r="H112" s="15">
        <f t="shared" si="3"/>
        <v>14.96</v>
      </c>
      <c r="I112" s="112" t="s">
        <v>243</v>
      </c>
      <c r="J112" s="60"/>
      <c r="K112" s="59"/>
    </row>
    <row r="113" spans="1:11" ht="13.5" thickBot="1">
      <c r="A113" s="46"/>
      <c r="B113" s="330"/>
      <c r="C113" s="55" t="s">
        <v>49</v>
      </c>
      <c r="D113" s="23">
        <v>8.54</v>
      </c>
      <c r="E113" s="20"/>
      <c r="F113" s="23">
        <v>2.2</v>
      </c>
      <c r="G113" s="20">
        <v>1</v>
      </c>
      <c r="H113" s="35">
        <f t="shared" si="3"/>
        <v>18.788</v>
      </c>
      <c r="I113" s="112" t="s">
        <v>243</v>
      </c>
      <c r="J113" s="60"/>
      <c r="K113" s="59"/>
    </row>
    <row r="114" spans="1:11" ht="12.75">
      <c r="A114" s="46"/>
      <c r="B114" s="43"/>
      <c r="C114" s="55"/>
      <c r="D114" s="23"/>
      <c r="E114" s="20"/>
      <c r="F114" s="23"/>
      <c r="G114" s="20"/>
      <c r="H114" s="65">
        <f>SUM(H97:H113)</f>
        <v>394.2799999999999</v>
      </c>
      <c r="I114" s="112" t="s">
        <v>243</v>
      </c>
      <c r="J114" s="60">
        <v>6.91</v>
      </c>
      <c r="K114" s="59">
        <f>H114*J114</f>
        <v>2724.4747999999995</v>
      </c>
    </row>
    <row r="115" spans="1:11" ht="12.75">
      <c r="A115" s="46"/>
      <c r="B115" s="43"/>
      <c r="C115" s="55"/>
      <c r="D115" s="23"/>
      <c r="E115" s="20"/>
      <c r="F115" s="23"/>
      <c r="G115" s="20"/>
      <c r="H115" s="15"/>
      <c r="I115" s="17"/>
      <c r="J115" s="60"/>
      <c r="K115" s="59"/>
    </row>
    <row r="116" spans="1:11" ht="78.75">
      <c r="A116" s="46">
        <v>15</v>
      </c>
      <c r="B116" s="43"/>
      <c r="C116" s="54" t="s">
        <v>76</v>
      </c>
      <c r="D116" s="23"/>
      <c r="E116" s="123" t="s">
        <v>75</v>
      </c>
      <c r="F116" s="23"/>
      <c r="G116" s="20"/>
      <c r="H116" s="15"/>
      <c r="I116" s="17"/>
      <c r="J116" s="60"/>
      <c r="K116" s="59"/>
    </row>
    <row r="117" spans="1:11" ht="12.75">
      <c r="A117" s="46"/>
      <c r="B117" s="43"/>
      <c r="C117" s="55" t="s">
        <v>77</v>
      </c>
      <c r="D117" s="23">
        <v>0.55</v>
      </c>
      <c r="E117" s="124">
        <v>3</v>
      </c>
      <c r="F117" s="23">
        <v>4.55</v>
      </c>
      <c r="G117" s="20">
        <v>6</v>
      </c>
      <c r="H117" s="15">
        <f>D117*E117*F117*G117</f>
        <v>45.045</v>
      </c>
      <c r="I117" s="17" t="s">
        <v>243</v>
      </c>
      <c r="J117" s="60"/>
      <c r="K117" s="59"/>
    </row>
    <row r="118" spans="1:11" ht="12.75">
      <c r="A118" s="46"/>
      <c r="B118" s="43"/>
      <c r="C118" s="55" t="s">
        <v>113</v>
      </c>
      <c r="D118" s="23">
        <v>72.53</v>
      </c>
      <c r="E118" s="124"/>
      <c r="F118" s="23">
        <v>3.64</v>
      </c>
      <c r="G118" s="20"/>
      <c r="H118" s="15">
        <f aca="true" t="shared" si="4" ref="H118:H123">D118*F118</f>
        <v>264.0092</v>
      </c>
      <c r="I118" s="17" t="s">
        <v>243</v>
      </c>
      <c r="J118" s="60"/>
      <c r="K118" s="59"/>
    </row>
    <row r="119" spans="1:11" ht="12.75">
      <c r="A119" s="46"/>
      <c r="B119" s="43"/>
      <c r="C119" s="55" t="s">
        <v>113</v>
      </c>
      <c r="D119" s="23">
        <v>55.91</v>
      </c>
      <c r="E119" s="124"/>
      <c r="F119" s="23">
        <v>3.64</v>
      </c>
      <c r="G119" s="20"/>
      <c r="H119" s="15">
        <f t="shared" si="4"/>
        <v>203.51239999999999</v>
      </c>
      <c r="I119" s="17" t="s">
        <v>243</v>
      </c>
      <c r="J119" s="60"/>
      <c r="K119" s="59"/>
    </row>
    <row r="120" spans="1:11" ht="12.75">
      <c r="A120" s="46"/>
      <c r="B120" s="43"/>
      <c r="C120" s="55" t="s">
        <v>113</v>
      </c>
      <c r="D120" s="23">
        <v>22.33</v>
      </c>
      <c r="E120" s="124"/>
      <c r="F120" s="23">
        <v>4.55</v>
      </c>
      <c r="G120" s="20"/>
      <c r="H120" s="15">
        <f t="shared" si="4"/>
        <v>101.60149999999999</v>
      </c>
      <c r="I120" s="17" t="s">
        <v>243</v>
      </c>
      <c r="J120" s="60"/>
      <c r="K120" s="59"/>
    </row>
    <row r="121" spans="1:11" ht="12.75">
      <c r="A121" s="46"/>
      <c r="B121" s="43"/>
      <c r="C121" s="55" t="s">
        <v>114</v>
      </c>
      <c r="D121" s="23">
        <v>66.61</v>
      </c>
      <c r="E121" s="124"/>
      <c r="F121" s="23">
        <v>3.2</v>
      </c>
      <c r="G121" s="20"/>
      <c r="H121" s="15">
        <f t="shared" si="4"/>
        <v>213.15200000000002</v>
      </c>
      <c r="I121" s="17" t="s">
        <v>243</v>
      </c>
      <c r="J121" s="60"/>
      <c r="K121" s="59"/>
    </row>
    <row r="122" spans="1:11" ht="12.75">
      <c r="A122" s="46"/>
      <c r="B122" s="43"/>
      <c r="C122" s="55" t="s">
        <v>114</v>
      </c>
      <c r="D122" s="23">
        <v>66.44</v>
      </c>
      <c r="E122" s="20"/>
      <c r="F122" s="23">
        <v>3.2</v>
      </c>
      <c r="G122" s="39"/>
      <c r="H122" s="15">
        <f t="shared" si="4"/>
        <v>212.608</v>
      </c>
      <c r="I122" s="17" t="s">
        <v>243</v>
      </c>
      <c r="J122" s="60"/>
      <c r="K122" s="59"/>
    </row>
    <row r="123" spans="1:11" ht="13.5" thickBot="1">
      <c r="A123" s="46"/>
      <c r="B123" s="43"/>
      <c r="C123" s="55" t="s">
        <v>114</v>
      </c>
      <c r="D123" s="23">
        <v>28.68</v>
      </c>
      <c r="E123" s="20"/>
      <c r="F123" s="23">
        <v>3.2</v>
      </c>
      <c r="G123" s="20"/>
      <c r="H123" s="35">
        <f t="shared" si="4"/>
        <v>91.77600000000001</v>
      </c>
      <c r="I123" s="17" t="s">
        <v>243</v>
      </c>
      <c r="J123" s="60"/>
      <c r="K123" s="59"/>
    </row>
    <row r="124" spans="1:11" ht="12.75">
      <c r="A124" s="46"/>
      <c r="B124" s="43"/>
      <c r="C124" s="50"/>
      <c r="D124" s="23"/>
      <c r="E124" s="20"/>
      <c r="F124" s="23"/>
      <c r="G124" s="20"/>
      <c r="H124" s="24">
        <f>SUM(H117:H123)</f>
        <v>1131.7041000000002</v>
      </c>
      <c r="I124" s="17" t="s">
        <v>243</v>
      </c>
      <c r="J124" s="60">
        <v>14.29</v>
      </c>
      <c r="K124" s="59">
        <f>H124*J124</f>
        <v>16172.051589</v>
      </c>
    </row>
    <row r="125" spans="1:11" ht="12.75">
      <c r="A125" s="46"/>
      <c r="B125" s="43"/>
      <c r="C125" s="50"/>
      <c r="D125" s="23"/>
      <c r="E125" s="20"/>
      <c r="F125" s="23"/>
      <c r="G125" s="20"/>
      <c r="H125" s="24"/>
      <c r="I125" s="17"/>
      <c r="J125" s="60"/>
      <c r="K125" s="59"/>
    </row>
    <row r="126" spans="1:11" ht="45">
      <c r="A126" s="46">
        <v>16</v>
      </c>
      <c r="B126" s="43"/>
      <c r="C126" s="54" t="s">
        <v>23</v>
      </c>
      <c r="D126" s="23"/>
      <c r="E126" s="20"/>
      <c r="F126" s="23"/>
      <c r="G126" s="20"/>
      <c r="H126" s="24"/>
      <c r="I126" s="17"/>
      <c r="J126" s="60"/>
      <c r="K126" s="59"/>
    </row>
    <row r="127" spans="1:11" ht="12.75">
      <c r="A127" s="46"/>
      <c r="B127" s="44"/>
      <c r="C127" s="158" t="s">
        <v>32</v>
      </c>
      <c r="D127" s="23"/>
      <c r="E127" s="20"/>
      <c r="F127" s="23"/>
      <c r="G127" s="20"/>
      <c r="H127" s="132">
        <v>7</v>
      </c>
      <c r="I127" s="17" t="s">
        <v>251</v>
      </c>
      <c r="J127" s="60"/>
      <c r="K127" s="59"/>
    </row>
    <row r="128" spans="1:11" ht="12.75">
      <c r="A128" s="46"/>
      <c r="B128" s="336"/>
      <c r="C128" s="36" t="s">
        <v>61</v>
      </c>
      <c r="D128" s="23"/>
      <c r="E128" s="20"/>
      <c r="F128" s="23"/>
      <c r="G128" s="20"/>
      <c r="H128" s="132">
        <v>2</v>
      </c>
      <c r="I128" s="17" t="s">
        <v>251</v>
      </c>
      <c r="J128" s="60"/>
      <c r="K128" s="59"/>
    </row>
    <row r="129" spans="1:11" ht="12.75">
      <c r="A129" s="46"/>
      <c r="B129" s="329"/>
      <c r="C129" s="36" t="s">
        <v>62</v>
      </c>
      <c r="D129" s="23"/>
      <c r="E129" s="20"/>
      <c r="F129" s="23"/>
      <c r="G129" s="20"/>
      <c r="H129" s="130">
        <v>12</v>
      </c>
      <c r="I129" s="17" t="s">
        <v>251</v>
      </c>
      <c r="J129" s="60"/>
      <c r="K129" s="59"/>
    </row>
    <row r="130" spans="1:11" ht="12.75">
      <c r="A130" s="46"/>
      <c r="B130" s="329"/>
      <c r="C130" s="55" t="s">
        <v>40</v>
      </c>
      <c r="D130" s="23"/>
      <c r="E130" s="20"/>
      <c r="F130" s="23"/>
      <c r="G130" s="20"/>
      <c r="H130" s="132">
        <v>3</v>
      </c>
      <c r="I130" s="17" t="s">
        <v>251</v>
      </c>
      <c r="J130" s="60"/>
      <c r="K130" s="59"/>
    </row>
    <row r="131" spans="1:11" ht="12.75">
      <c r="A131" s="46"/>
      <c r="B131" s="329"/>
      <c r="C131" s="55" t="s">
        <v>41</v>
      </c>
      <c r="D131" s="23"/>
      <c r="E131" s="20"/>
      <c r="F131" s="23"/>
      <c r="G131" s="20"/>
      <c r="H131" s="132">
        <v>2</v>
      </c>
      <c r="I131" s="17" t="s">
        <v>251</v>
      </c>
      <c r="J131" s="60"/>
      <c r="K131" s="59"/>
    </row>
    <row r="132" spans="1:11" ht="13.5" thickBot="1">
      <c r="A132" s="46"/>
      <c r="B132" s="342"/>
      <c r="C132" s="125" t="s">
        <v>42</v>
      </c>
      <c r="D132" s="126"/>
      <c r="E132" s="127"/>
      <c r="F132" s="126"/>
      <c r="G132" s="127"/>
      <c r="H132" s="133">
        <v>0</v>
      </c>
      <c r="I132" s="17" t="s">
        <v>251</v>
      </c>
      <c r="J132" s="60"/>
      <c r="K132" s="59"/>
    </row>
    <row r="133" spans="1:11" ht="12.75">
      <c r="A133" s="46"/>
      <c r="B133" s="119"/>
      <c r="C133" s="120" t="s">
        <v>32</v>
      </c>
      <c r="D133" s="155"/>
      <c r="E133" s="156"/>
      <c r="F133" s="155"/>
      <c r="G133" s="156"/>
      <c r="H133" s="157">
        <v>11</v>
      </c>
      <c r="I133" s="95" t="s">
        <v>251</v>
      </c>
      <c r="J133" s="96"/>
      <c r="K133" s="64"/>
    </row>
    <row r="134" spans="1:11" ht="12.75">
      <c r="A134" s="46"/>
      <c r="B134" s="329"/>
      <c r="C134" s="55" t="s">
        <v>61</v>
      </c>
      <c r="D134" s="23"/>
      <c r="E134" s="20"/>
      <c r="F134" s="23"/>
      <c r="G134" s="20"/>
      <c r="H134" s="132">
        <v>2</v>
      </c>
      <c r="I134" s="17" t="s">
        <v>251</v>
      </c>
      <c r="J134" s="60"/>
      <c r="K134" s="59"/>
    </row>
    <row r="135" spans="1:11" ht="12.75">
      <c r="A135" s="46"/>
      <c r="B135" s="329"/>
      <c r="C135" s="36" t="s">
        <v>62</v>
      </c>
      <c r="D135" s="23"/>
      <c r="E135" s="20"/>
      <c r="F135" s="23"/>
      <c r="G135" s="20"/>
      <c r="H135" s="132">
        <v>12</v>
      </c>
      <c r="I135" s="17" t="s">
        <v>251</v>
      </c>
      <c r="J135" s="60"/>
      <c r="K135" s="59"/>
    </row>
    <row r="136" spans="1:11" ht="12.75">
      <c r="A136" s="46"/>
      <c r="B136" s="329"/>
      <c r="C136" s="55" t="s">
        <v>40</v>
      </c>
      <c r="D136" s="23"/>
      <c r="E136" s="20"/>
      <c r="F136" s="23"/>
      <c r="G136" s="20"/>
      <c r="H136" s="132">
        <v>3</v>
      </c>
      <c r="I136" s="17" t="s">
        <v>251</v>
      </c>
      <c r="J136" s="60"/>
      <c r="K136" s="59"/>
    </row>
    <row r="137" spans="1:11" ht="12.75">
      <c r="A137" s="46"/>
      <c r="B137" s="329"/>
      <c r="C137" s="55" t="s">
        <v>41</v>
      </c>
      <c r="D137" s="23"/>
      <c r="E137" s="20"/>
      <c r="F137" s="23"/>
      <c r="G137" s="20"/>
      <c r="H137" s="132">
        <v>0</v>
      </c>
      <c r="I137" s="17" t="s">
        <v>251</v>
      </c>
      <c r="J137" s="60"/>
      <c r="K137" s="59"/>
    </row>
    <row r="138" spans="1:11" ht="12.75">
      <c r="A138" s="46"/>
      <c r="B138" s="329"/>
      <c r="C138" s="55" t="s">
        <v>42</v>
      </c>
      <c r="D138" s="23"/>
      <c r="E138" s="20"/>
      <c r="F138" s="23"/>
      <c r="G138" s="20"/>
      <c r="H138" s="132">
        <v>2</v>
      </c>
      <c r="I138" s="17" t="s">
        <v>251</v>
      </c>
      <c r="J138" s="60"/>
      <c r="K138" s="59"/>
    </row>
    <row r="139" spans="1:11" ht="12.75">
      <c r="A139" s="46"/>
      <c r="B139" s="329"/>
      <c r="C139" s="55" t="s">
        <v>43</v>
      </c>
      <c r="D139" s="23"/>
      <c r="E139" s="20"/>
      <c r="F139" s="23"/>
      <c r="G139" s="20"/>
      <c r="H139" s="132">
        <v>1</v>
      </c>
      <c r="I139" s="17" t="s">
        <v>251</v>
      </c>
      <c r="J139" s="60"/>
      <c r="K139" s="59"/>
    </row>
    <row r="140" spans="1:11" ht="12.75">
      <c r="A140" s="46"/>
      <c r="B140" s="329"/>
      <c r="C140" s="55" t="s">
        <v>44</v>
      </c>
      <c r="D140" s="23"/>
      <c r="E140" s="20"/>
      <c r="F140" s="23"/>
      <c r="G140" s="20"/>
      <c r="H140" s="132">
        <v>1</v>
      </c>
      <c r="I140" s="17" t="s">
        <v>251</v>
      </c>
      <c r="J140" s="60"/>
      <c r="K140" s="59"/>
    </row>
    <row r="141" spans="1:11" ht="12.75">
      <c r="A141" s="46"/>
      <c r="B141" s="329"/>
      <c r="C141" s="55" t="s">
        <v>45</v>
      </c>
      <c r="D141" s="23"/>
      <c r="E141" s="20"/>
      <c r="F141" s="23"/>
      <c r="G141" s="20"/>
      <c r="H141" s="132">
        <v>1</v>
      </c>
      <c r="I141" s="17" t="s">
        <v>251</v>
      </c>
      <c r="J141" s="60"/>
      <c r="K141" s="59"/>
    </row>
    <row r="142" spans="1:11" ht="12.75">
      <c r="A142" s="46"/>
      <c r="B142" s="329"/>
      <c r="C142" s="55" t="s">
        <v>46</v>
      </c>
      <c r="D142" s="23"/>
      <c r="E142" s="20"/>
      <c r="F142" s="23"/>
      <c r="G142" s="20"/>
      <c r="H142" s="132">
        <v>0</v>
      </c>
      <c r="I142" s="17" t="s">
        <v>251</v>
      </c>
      <c r="J142" s="60"/>
      <c r="K142" s="59"/>
    </row>
    <row r="143" spans="1:11" ht="12.75">
      <c r="A143" s="46"/>
      <c r="B143" s="329"/>
      <c r="C143" s="55" t="s">
        <v>47</v>
      </c>
      <c r="D143" s="23"/>
      <c r="E143" s="20"/>
      <c r="F143" s="23"/>
      <c r="G143" s="20"/>
      <c r="H143" s="132">
        <v>3</v>
      </c>
      <c r="I143" s="17" t="s">
        <v>251</v>
      </c>
      <c r="J143" s="60"/>
      <c r="K143" s="59"/>
    </row>
    <row r="144" spans="1:11" ht="12.75">
      <c r="A144" s="46"/>
      <c r="B144" s="329"/>
      <c r="C144" s="55" t="s">
        <v>48</v>
      </c>
      <c r="D144" s="23"/>
      <c r="E144" s="20"/>
      <c r="F144" s="23"/>
      <c r="G144" s="20"/>
      <c r="H144" s="132">
        <v>3</v>
      </c>
      <c r="I144" s="17" t="s">
        <v>251</v>
      </c>
      <c r="J144" s="60"/>
      <c r="K144" s="59"/>
    </row>
    <row r="145" spans="1:11" ht="13.5" thickBot="1">
      <c r="A145" s="46"/>
      <c r="B145" s="330"/>
      <c r="C145" s="55" t="s">
        <v>49</v>
      </c>
      <c r="D145" s="23"/>
      <c r="E145" s="20"/>
      <c r="F145" s="23"/>
      <c r="G145" s="20"/>
      <c r="H145" s="131">
        <v>0</v>
      </c>
      <c r="I145" s="17" t="s">
        <v>251</v>
      </c>
      <c r="J145" s="60"/>
      <c r="K145" s="59"/>
    </row>
    <row r="146" spans="1:11" ht="12.75">
      <c r="A146" s="46"/>
      <c r="B146" s="43"/>
      <c r="C146" s="50"/>
      <c r="D146" s="23"/>
      <c r="E146" s="20"/>
      <c r="F146" s="23"/>
      <c r="G146" s="20"/>
      <c r="H146" s="24">
        <f>SUM(H127:H145)</f>
        <v>65</v>
      </c>
      <c r="I146" s="17" t="s">
        <v>251</v>
      </c>
      <c r="J146" s="60">
        <v>68.15</v>
      </c>
      <c r="K146" s="59">
        <f>H146*J146</f>
        <v>4429.75</v>
      </c>
    </row>
    <row r="147" spans="1:11" ht="12.75">
      <c r="A147" s="46"/>
      <c r="B147" s="43"/>
      <c r="C147" s="50"/>
      <c r="D147" s="23"/>
      <c r="E147" s="20"/>
      <c r="F147" s="23"/>
      <c r="G147" s="20"/>
      <c r="H147" s="24"/>
      <c r="I147" s="17"/>
      <c r="J147" s="60"/>
      <c r="K147" s="59"/>
    </row>
    <row r="148" spans="1:11" ht="112.5">
      <c r="A148" s="46">
        <v>17</v>
      </c>
      <c r="B148" s="43"/>
      <c r="C148" s="54" t="s">
        <v>50</v>
      </c>
      <c r="D148" s="23"/>
      <c r="E148" s="20"/>
      <c r="F148" s="23"/>
      <c r="G148" s="20"/>
      <c r="H148" s="24"/>
      <c r="I148" s="17"/>
      <c r="J148" s="60"/>
      <c r="K148" s="59"/>
    </row>
    <row r="149" spans="1:11" ht="12.75">
      <c r="A149" s="46"/>
      <c r="B149" s="43"/>
      <c r="C149" s="50" t="s">
        <v>115</v>
      </c>
      <c r="D149" s="23"/>
      <c r="E149" s="20"/>
      <c r="F149" s="23"/>
      <c r="G149" s="20"/>
      <c r="H149" s="24">
        <v>3</v>
      </c>
      <c r="I149" s="17" t="s">
        <v>251</v>
      </c>
      <c r="J149" s="60"/>
      <c r="K149" s="59"/>
    </row>
    <row r="150" spans="1:11" ht="13.5" thickBot="1">
      <c r="A150" s="46"/>
      <c r="B150" s="43"/>
      <c r="C150" s="50" t="s">
        <v>253</v>
      </c>
      <c r="D150" s="23"/>
      <c r="E150" s="20"/>
      <c r="F150" s="23"/>
      <c r="G150" s="20"/>
      <c r="H150" s="35">
        <v>4</v>
      </c>
      <c r="I150" s="17" t="s">
        <v>251</v>
      </c>
      <c r="J150" s="60"/>
      <c r="K150" s="59"/>
    </row>
    <row r="151" spans="1:11" ht="12.75">
      <c r="A151" s="46"/>
      <c r="B151" s="43"/>
      <c r="C151" s="50"/>
      <c r="D151" s="23"/>
      <c r="E151" s="20"/>
      <c r="F151" s="23"/>
      <c r="G151" s="20"/>
      <c r="H151" s="24">
        <f>SUM(H149:H150)</f>
        <v>7</v>
      </c>
      <c r="I151" s="17" t="s">
        <v>251</v>
      </c>
      <c r="J151" s="60">
        <v>900</v>
      </c>
      <c r="K151" s="59">
        <f>H151*J151</f>
        <v>6300</v>
      </c>
    </row>
    <row r="152" spans="1:11" ht="12.75">
      <c r="A152" s="46"/>
      <c r="B152" s="43"/>
      <c r="C152" s="50"/>
      <c r="D152" s="23"/>
      <c r="E152" s="20"/>
      <c r="F152" s="23"/>
      <c r="G152" s="20"/>
      <c r="H152" s="24"/>
      <c r="I152" s="17"/>
      <c r="J152" s="60"/>
      <c r="K152" s="59"/>
    </row>
    <row r="153" spans="1:11" ht="45" customHeight="1">
      <c r="A153" s="46">
        <v>18</v>
      </c>
      <c r="B153" s="47"/>
      <c r="C153" s="54" t="s">
        <v>83</v>
      </c>
      <c r="D153" s="23"/>
      <c r="E153" s="20"/>
      <c r="F153" s="23"/>
      <c r="G153" s="20"/>
      <c r="H153" s="15"/>
      <c r="I153" s="17"/>
      <c r="J153" s="60"/>
      <c r="K153" s="59"/>
    </row>
    <row r="154" spans="1:11" ht="12.75">
      <c r="A154" s="46"/>
      <c r="B154" s="47"/>
      <c r="C154" s="54" t="s">
        <v>115</v>
      </c>
      <c r="D154" s="23">
        <f>20.85+21.65+23.46+15.2+98.08+20.76+19.65+15+19.75+12.2+7.5+8.98+12.64+5.7+10.65+11.45+8.87+10.8+7.76</f>
        <v>350.95</v>
      </c>
      <c r="E154" s="20"/>
      <c r="F154" s="23"/>
      <c r="G154" s="20"/>
      <c r="H154" s="63">
        <f>D154</f>
        <v>350.95</v>
      </c>
      <c r="I154" s="17" t="s">
        <v>63</v>
      </c>
      <c r="J154" s="60"/>
      <c r="K154" s="59"/>
    </row>
    <row r="155" spans="1:11" ht="13.5" thickBot="1">
      <c r="A155" s="46"/>
      <c r="B155" s="47"/>
      <c r="C155" s="54" t="s">
        <v>253</v>
      </c>
      <c r="D155" s="23">
        <f>20.85+21.65+23.46+15.2+67.43+21.29+19.65+15+20.28+5.9+1.8+25.53+21.5+9.88+17+27.23+17.12+15.94+12.3+22.1+7.4</f>
        <v>408.5100000000001</v>
      </c>
      <c r="E155" s="20"/>
      <c r="F155" s="23"/>
      <c r="G155" s="20"/>
      <c r="H155" s="35">
        <f>D155</f>
        <v>408.5100000000001</v>
      </c>
      <c r="I155" s="17" t="s">
        <v>63</v>
      </c>
      <c r="J155" s="60"/>
      <c r="K155" s="59"/>
    </row>
    <row r="156" spans="1:11" ht="12.75">
      <c r="A156" s="46"/>
      <c r="B156" s="47"/>
      <c r="C156" s="50"/>
      <c r="D156" s="23"/>
      <c r="E156" s="20"/>
      <c r="F156" s="23"/>
      <c r="G156" s="20"/>
      <c r="H156" s="24">
        <f>SUM(H154:H155)</f>
        <v>759.46</v>
      </c>
      <c r="I156" s="17" t="s">
        <v>63</v>
      </c>
      <c r="J156" s="60">
        <v>1.43</v>
      </c>
      <c r="K156" s="59">
        <f>H156*J156</f>
        <v>1086.0278</v>
      </c>
    </row>
    <row r="157" spans="1:11" ht="12.75">
      <c r="A157" s="46"/>
      <c r="B157" s="43"/>
      <c r="C157" s="50"/>
      <c r="D157" s="23"/>
      <c r="E157" s="20"/>
      <c r="F157" s="23"/>
      <c r="G157" s="20"/>
      <c r="H157" s="15"/>
      <c r="I157" s="17"/>
      <c r="J157" s="60"/>
      <c r="K157" s="59"/>
    </row>
    <row r="158" spans="1:11" ht="56.25">
      <c r="A158" s="46">
        <v>19</v>
      </c>
      <c r="B158" s="47"/>
      <c r="C158" s="54" t="s">
        <v>30</v>
      </c>
      <c r="D158" s="23"/>
      <c r="E158" s="20"/>
      <c r="F158" s="23"/>
      <c r="G158" s="66"/>
      <c r="H158" s="15">
        <v>54</v>
      </c>
      <c r="I158" s="17" t="s">
        <v>251</v>
      </c>
      <c r="J158" s="60">
        <v>75</v>
      </c>
      <c r="K158" s="59">
        <f>H158*J158</f>
        <v>4050</v>
      </c>
    </row>
    <row r="159" spans="1:11" ht="12.75">
      <c r="A159" s="46"/>
      <c r="B159" s="47"/>
      <c r="C159" s="54" t="s">
        <v>31</v>
      </c>
      <c r="D159" s="23"/>
      <c r="E159" s="20"/>
      <c r="F159" s="23"/>
      <c r="G159" s="66"/>
      <c r="H159" s="15"/>
      <c r="I159" s="17"/>
      <c r="J159" s="60"/>
      <c r="K159" s="59"/>
    </row>
    <row r="160" spans="1:11" ht="112.5">
      <c r="A160" s="46">
        <v>20</v>
      </c>
      <c r="B160" s="47"/>
      <c r="C160" s="54" t="s">
        <v>55</v>
      </c>
      <c r="D160" s="23"/>
      <c r="E160" s="20"/>
      <c r="F160" s="23"/>
      <c r="G160" s="21"/>
      <c r="H160" s="15"/>
      <c r="I160" s="17"/>
      <c r="J160" s="60"/>
      <c r="K160" s="59"/>
    </row>
    <row r="161" spans="1:11" ht="33.75">
      <c r="A161" s="46"/>
      <c r="B161" s="43"/>
      <c r="C161" s="51" t="s">
        <v>73</v>
      </c>
      <c r="D161" s="23"/>
      <c r="E161" s="20"/>
      <c r="F161" s="23"/>
      <c r="G161" s="20"/>
      <c r="H161" s="63">
        <v>1</v>
      </c>
      <c r="I161" s="17" t="s">
        <v>234</v>
      </c>
      <c r="J161" s="60"/>
      <c r="K161" s="59"/>
    </row>
    <row r="162" spans="1:11" ht="34.5" thickBot="1">
      <c r="A162" s="46"/>
      <c r="B162" s="43"/>
      <c r="C162" s="51" t="s">
        <v>74</v>
      </c>
      <c r="D162" s="23"/>
      <c r="E162" s="20"/>
      <c r="F162" s="23"/>
      <c r="G162" s="20"/>
      <c r="H162" s="35">
        <v>1</v>
      </c>
      <c r="I162" s="17" t="s">
        <v>234</v>
      </c>
      <c r="J162" s="60"/>
      <c r="K162" s="59"/>
    </row>
    <row r="163" spans="1:11" ht="12.75">
      <c r="A163" s="46"/>
      <c r="B163" s="43"/>
      <c r="C163" s="51"/>
      <c r="D163" s="23"/>
      <c r="E163" s="20"/>
      <c r="F163" s="23"/>
      <c r="G163" s="20"/>
      <c r="H163" s="24">
        <f>SUM(H161:H162)</f>
        <v>2</v>
      </c>
      <c r="I163" s="17" t="s">
        <v>234</v>
      </c>
      <c r="J163" s="60">
        <v>2000</v>
      </c>
      <c r="K163" s="59">
        <f>H163*J163</f>
        <v>4000</v>
      </c>
    </row>
    <row r="164" spans="1:11" ht="12.75">
      <c r="A164" s="46"/>
      <c r="B164" s="43"/>
      <c r="C164" s="51"/>
      <c r="D164" s="23"/>
      <c r="E164" s="20"/>
      <c r="F164" s="23"/>
      <c r="G164" s="20"/>
      <c r="H164" s="24"/>
      <c r="I164" s="17"/>
      <c r="J164" s="60"/>
      <c r="K164" s="59"/>
    </row>
    <row r="165" spans="1:11" ht="79.5" customHeight="1">
      <c r="A165" s="46">
        <v>21</v>
      </c>
      <c r="B165" s="47"/>
      <c r="C165" s="54" t="s">
        <v>327</v>
      </c>
      <c r="D165" s="23"/>
      <c r="E165" s="20"/>
      <c r="F165" s="148"/>
      <c r="G165" s="66"/>
      <c r="H165" s="15"/>
      <c r="I165" s="17"/>
      <c r="J165" s="60"/>
      <c r="K165" s="64"/>
    </row>
    <row r="166" spans="1:11" ht="33.75">
      <c r="A166" s="46"/>
      <c r="B166" s="47"/>
      <c r="C166" s="54" t="s">
        <v>283</v>
      </c>
      <c r="D166" s="23"/>
      <c r="E166" s="20"/>
      <c r="F166" s="121"/>
      <c r="G166" s="118"/>
      <c r="H166" s="15">
        <v>550</v>
      </c>
      <c r="I166" s="17" t="s">
        <v>63</v>
      </c>
      <c r="J166" s="60">
        <v>2.98</v>
      </c>
      <c r="K166" s="64">
        <f>H166*J166</f>
        <v>1639</v>
      </c>
    </row>
    <row r="167" spans="1:11" ht="12.75">
      <c r="A167" s="46"/>
      <c r="B167" s="47"/>
      <c r="C167" s="54"/>
      <c r="D167" s="23"/>
      <c r="E167" s="20"/>
      <c r="F167" s="148"/>
      <c r="G167" s="66"/>
      <c r="H167" s="24"/>
      <c r="I167" s="17"/>
      <c r="J167" s="60"/>
      <c r="K167" s="59"/>
    </row>
    <row r="168" spans="1:11" ht="157.5">
      <c r="A168" s="46">
        <v>22</v>
      </c>
      <c r="B168" s="47"/>
      <c r="C168" s="54" t="s">
        <v>151</v>
      </c>
      <c r="D168" s="23"/>
      <c r="E168" s="20"/>
      <c r="F168" s="148"/>
      <c r="G168" s="66"/>
      <c r="H168" s="24">
        <v>1</v>
      </c>
      <c r="I168" s="17" t="s">
        <v>234</v>
      </c>
      <c r="J168" s="60">
        <v>900</v>
      </c>
      <c r="K168" s="59">
        <f>H168*J168</f>
        <v>900</v>
      </c>
    </row>
    <row r="169" spans="1:11" ht="12.75">
      <c r="A169" s="46"/>
      <c r="B169" s="47"/>
      <c r="C169" s="54"/>
      <c r="D169" s="23"/>
      <c r="E169" s="20"/>
      <c r="F169" s="148"/>
      <c r="G169" s="66"/>
      <c r="H169" s="24"/>
      <c r="I169" s="17"/>
      <c r="J169" s="60"/>
      <c r="K169" s="59"/>
    </row>
    <row r="170" spans="1:11" ht="90">
      <c r="A170" s="46">
        <v>23</v>
      </c>
      <c r="B170" s="47"/>
      <c r="C170" s="147" t="s">
        <v>152</v>
      </c>
      <c r="D170" s="150"/>
      <c r="E170" s="149"/>
      <c r="F170" s="151"/>
      <c r="G170" s="145"/>
      <c r="H170" s="152">
        <v>6</v>
      </c>
      <c r="I170" s="146" t="s">
        <v>251</v>
      </c>
      <c r="J170" s="60">
        <v>30</v>
      </c>
      <c r="K170" s="59">
        <f>H170*J170</f>
        <v>180</v>
      </c>
    </row>
    <row r="171" spans="1:11" ht="12.75">
      <c r="A171" s="46"/>
      <c r="B171" s="47"/>
      <c r="C171" s="54"/>
      <c r="D171" s="23"/>
      <c r="E171" s="20"/>
      <c r="F171" s="148"/>
      <c r="G171" s="66"/>
      <c r="H171" s="24"/>
      <c r="I171" s="112"/>
      <c r="J171" s="60"/>
      <c r="K171" s="59"/>
    </row>
    <row r="172" spans="1:12" ht="79.5" thickBot="1">
      <c r="A172" s="212">
        <v>24</v>
      </c>
      <c r="B172" s="235"/>
      <c r="C172" s="236" t="s">
        <v>88</v>
      </c>
      <c r="D172" s="126"/>
      <c r="E172" s="127"/>
      <c r="F172" s="237"/>
      <c r="G172" s="292"/>
      <c r="H172" s="108">
        <v>1</v>
      </c>
      <c r="I172" s="128" t="s">
        <v>234</v>
      </c>
      <c r="J172" s="238">
        <v>800</v>
      </c>
      <c r="K172" s="233">
        <f>H172*J172</f>
        <v>800</v>
      </c>
      <c r="L172" s="290"/>
    </row>
    <row r="173" spans="1:11" ht="12.75">
      <c r="A173" s="109"/>
      <c r="B173" s="110"/>
      <c r="C173" s="291"/>
      <c r="D173" s="111"/>
      <c r="E173" s="21"/>
      <c r="F173" s="111"/>
      <c r="G173" s="21"/>
      <c r="H173" s="24"/>
      <c r="I173" s="112"/>
      <c r="J173" s="113"/>
      <c r="K173" s="114"/>
    </row>
    <row r="174" spans="1:11" ht="78.75">
      <c r="A174" s="46">
        <v>25</v>
      </c>
      <c r="B174" s="47"/>
      <c r="C174" s="54" t="s">
        <v>330</v>
      </c>
      <c r="D174" s="23"/>
      <c r="E174" s="20"/>
      <c r="F174" s="23">
        <v>0.9</v>
      </c>
      <c r="G174" s="134">
        <f>H17</f>
        <v>1053.25</v>
      </c>
      <c r="H174" s="15">
        <f>F174*G174</f>
        <v>947.9250000000001</v>
      </c>
      <c r="I174" s="17" t="s">
        <v>243</v>
      </c>
      <c r="J174" s="60">
        <v>11.45</v>
      </c>
      <c r="K174" s="59">
        <f>H174*J174</f>
        <v>10853.741250000001</v>
      </c>
    </row>
    <row r="175" spans="1:11" ht="12.75">
      <c r="A175" s="46"/>
      <c r="B175" s="43"/>
      <c r="C175" s="50"/>
      <c r="D175" s="23"/>
      <c r="E175" s="20"/>
      <c r="F175" s="23"/>
      <c r="G175" s="20"/>
      <c r="H175" s="15"/>
      <c r="I175" s="17"/>
      <c r="J175" s="60"/>
      <c r="K175" s="59"/>
    </row>
    <row r="176" spans="1:11" ht="25.5">
      <c r="A176" s="46"/>
      <c r="B176" s="43"/>
      <c r="C176" s="49" t="s">
        <v>72</v>
      </c>
      <c r="D176" s="23"/>
      <c r="E176" s="20"/>
      <c r="F176" s="23"/>
      <c r="G176" s="20"/>
      <c r="H176" s="15"/>
      <c r="I176" s="17"/>
      <c r="J176" s="60"/>
      <c r="K176" s="59"/>
    </row>
    <row r="177" spans="1:11" ht="67.5">
      <c r="A177" s="46">
        <v>26</v>
      </c>
      <c r="B177" s="47"/>
      <c r="C177" s="54" t="s">
        <v>331</v>
      </c>
      <c r="D177" s="23"/>
      <c r="E177" s="26"/>
      <c r="F177" s="23"/>
      <c r="G177" s="20"/>
      <c r="H177" s="15"/>
      <c r="I177" s="17"/>
      <c r="J177" s="60"/>
      <c r="K177" s="59"/>
    </row>
    <row r="178" spans="1:11" ht="15.75">
      <c r="A178" s="46"/>
      <c r="B178" s="43"/>
      <c r="C178" s="52">
        <v>4</v>
      </c>
      <c r="D178" s="23"/>
      <c r="E178" s="26"/>
      <c r="F178" s="23">
        <v>0.04</v>
      </c>
      <c r="G178" s="39">
        <f>H17</f>
        <v>1053.25</v>
      </c>
      <c r="H178" s="15">
        <f aca="true" t="shared" si="5" ref="H178:H196">F178*G178</f>
        <v>42.13</v>
      </c>
      <c r="I178" s="17" t="s">
        <v>244</v>
      </c>
      <c r="J178" s="60"/>
      <c r="K178" s="59"/>
    </row>
    <row r="179" spans="1:11" ht="15.75">
      <c r="A179" s="46"/>
      <c r="B179" s="43"/>
      <c r="C179" s="52">
        <v>5</v>
      </c>
      <c r="D179" s="23"/>
      <c r="E179" s="26"/>
      <c r="F179" s="23">
        <v>0.01</v>
      </c>
      <c r="G179" s="48">
        <f>H20</f>
        <v>490.71</v>
      </c>
      <c r="H179" s="15">
        <f t="shared" si="5"/>
        <v>4.9071</v>
      </c>
      <c r="I179" s="17" t="s">
        <v>244</v>
      </c>
      <c r="J179" s="60"/>
      <c r="K179" s="59"/>
    </row>
    <row r="180" spans="1:11" ht="15.75">
      <c r="A180" s="46"/>
      <c r="B180" s="43"/>
      <c r="C180" s="52" t="s">
        <v>15</v>
      </c>
      <c r="D180" s="23"/>
      <c r="E180" s="26"/>
      <c r="F180" s="23">
        <v>0.01</v>
      </c>
      <c r="G180" s="48">
        <f>H21</f>
        <v>562.54</v>
      </c>
      <c r="H180" s="15">
        <f t="shared" si="5"/>
        <v>5.6254</v>
      </c>
      <c r="I180" s="17" t="s">
        <v>244</v>
      </c>
      <c r="J180" s="60"/>
      <c r="K180" s="59"/>
    </row>
    <row r="181" spans="1:11" ht="15.75">
      <c r="A181" s="46"/>
      <c r="B181" s="43"/>
      <c r="C181" s="52">
        <v>7</v>
      </c>
      <c r="D181" s="23"/>
      <c r="E181" s="26"/>
      <c r="F181" s="23">
        <v>0.03</v>
      </c>
      <c r="G181" s="48">
        <f>H35</f>
        <v>252.56599999999997</v>
      </c>
      <c r="H181" s="15">
        <f t="shared" si="5"/>
        <v>7.576979999999999</v>
      </c>
      <c r="I181" s="17" t="s">
        <v>244</v>
      </c>
      <c r="J181" s="60"/>
      <c r="K181" s="59"/>
    </row>
    <row r="182" spans="1:11" ht="15.75">
      <c r="A182" s="46"/>
      <c r="B182" s="43"/>
      <c r="C182" s="52">
        <v>8</v>
      </c>
      <c r="D182" s="23"/>
      <c r="E182" s="26"/>
      <c r="F182" s="23">
        <v>0.12</v>
      </c>
      <c r="G182" s="48">
        <f>H45</f>
        <v>1022.1918999999999</v>
      </c>
      <c r="H182" s="15">
        <f t="shared" si="5"/>
        <v>122.66302799999998</v>
      </c>
      <c r="I182" s="17" t="s">
        <v>244</v>
      </c>
      <c r="J182" s="60"/>
      <c r="K182" s="59"/>
    </row>
    <row r="183" spans="1:11" ht="15.75">
      <c r="A183" s="46"/>
      <c r="B183" s="43"/>
      <c r="C183" s="52">
        <v>9</v>
      </c>
      <c r="D183" s="23"/>
      <c r="E183" s="26"/>
      <c r="F183" s="23">
        <v>0.12</v>
      </c>
      <c r="G183" s="48">
        <f>H54</f>
        <v>43.5</v>
      </c>
      <c r="H183" s="15">
        <f t="shared" si="5"/>
        <v>5.22</v>
      </c>
      <c r="I183" s="17" t="s">
        <v>244</v>
      </c>
      <c r="J183" s="60"/>
      <c r="K183" s="59"/>
    </row>
    <row r="184" spans="1:11" ht="15.75">
      <c r="A184" s="46"/>
      <c r="B184" s="43"/>
      <c r="C184" s="52">
        <v>10</v>
      </c>
      <c r="D184" s="23"/>
      <c r="E184" s="26"/>
      <c r="F184" s="23">
        <v>0.3</v>
      </c>
      <c r="G184" s="48">
        <f>H59</f>
        <v>26.240000000000002</v>
      </c>
      <c r="H184" s="15">
        <f t="shared" si="5"/>
        <v>7.872</v>
      </c>
      <c r="I184" s="17" t="s">
        <v>244</v>
      </c>
      <c r="J184" s="60"/>
      <c r="K184" s="59"/>
    </row>
    <row r="185" spans="1:11" ht="15.75">
      <c r="A185" s="46"/>
      <c r="B185" s="43"/>
      <c r="C185" s="52">
        <v>14</v>
      </c>
      <c r="D185" s="40"/>
      <c r="E185" s="41"/>
      <c r="F185" s="40">
        <v>0.04</v>
      </c>
      <c r="G185" s="48">
        <f>H114</f>
        <v>394.2799999999999</v>
      </c>
      <c r="H185" s="15">
        <f t="shared" si="5"/>
        <v>15.771199999999997</v>
      </c>
      <c r="I185" s="17" t="s">
        <v>244</v>
      </c>
      <c r="J185" s="60"/>
      <c r="K185" s="59"/>
    </row>
    <row r="186" spans="1:11" ht="15.75">
      <c r="A186" s="46"/>
      <c r="B186" s="43"/>
      <c r="C186" s="52">
        <v>15</v>
      </c>
      <c r="D186" s="40"/>
      <c r="E186" s="41"/>
      <c r="F186" s="40">
        <v>0.02</v>
      </c>
      <c r="G186" s="48">
        <f>H124</f>
        <v>1131.7041000000002</v>
      </c>
      <c r="H186" s="15">
        <f t="shared" si="5"/>
        <v>22.634082000000003</v>
      </c>
      <c r="I186" s="17" t="s">
        <v>244</v>
      </c>
      <c r="J186" s="60"/>
      <c r="K186" s="59"/>
    </row>
    <row r="187" spans="1:11" ht="15.75">
      <c r="A187" s="46"/>
      <c r="B187" s="43"/>
      <c r="C187" s="52">
        <v>16</v>
      </c>
      <c r="D187" s="23"/>
      <c r="E187" s="26"/>
      <c r="F187" s="23">
        <v>0.4</v>
      </c>
      <c r="G187" s="48">
        <f>H146</f>
        <v>65</v>
      </c>
      <c r="H187" s="15">
        <f t="shared" si="5"/>
        <v>26</v>
      </c>
      <c r="I187" s="17" t="s">
        <v>244</v>
      </c>
      <c r="J187" s="60"/>
      <c r="K187" s="59"/>
    </row>
    <row r="188" spans="1:11" ht="15.75">
      <c r="A188" s="46"/>
      <c r="B188" s="43"/>
      <c r="C188" s="52">
        <v>17</v>
      </c>
      <c r="D188" s="62"/>
      <c r="E188" s="26"/>
      <c r="F188" s="23">
        <v>0.25</v>
      </c>
      <c r="G188" s="39">
        <f>H151</f>
        <v>7</v>
      </c>
      <c r="H188" s="15">
        <f t="shared" si="5"/>
        <v>1.75</v>
      </c>
      <c r="I188" s="17" t="s">
        <v>244</v>
      </c>
      <c r="J188" s="60"/>
      <c r="K188" s="59"/>
    </row>
    <row r="189" spans="1:11" ht="16.5" thickBot="1">
      <c r="A189" s="46"/>
      <c r="B189" s="43"/>
      <c r="C189" s="139" t="s">
        <v>16</v>
      </c>
      <c r="D189" s="140"/>
      <c r="E189" s="141"/>
      <c r="F189" s="126">
        <v>0.2</v>
      </c>
      <c r="G189" s="142">
        <v>4</v>
      </c>
      <c r="H189" s="35">
        <f t="shared" si="5"/>
        <v>0.8</v>
      </c>
      <c r="I189" s="128" t="s">
        <v>244</v>
      </c>
      <c r="J189" s="60"/>
      <c r="K189" s="59"/>
    </row>
    <row r="190" spans="1:11" ht="15.75">
      <c r="A190" s="46"/>
      <c r="B190" s="43"/>
      <c r="C190" s="135">
        <v>6</v>
      </c>
      <c r="D190" s="136"/>
      <c r="E190" s="137"/>
      <c r="F190" s="111">
        <v>0.005</v>
      </c>
      <c r="G190" s="138">
        <f>H29</f>
        <v>813.1400000000001</v>
      </c>
      <c r="H190" s="65">
        <f t="shared" si="5"/>
        <v>4.0657000000000005</v>
      </c>
      <c r="I190" s="153" t="s">
        <v>244</v>
      </c>
      <c r="J190" s="60"/>
      <c r="K190" s="59"/>
    </row>
    <row r="191" spans="1:11" ht="15.75">
      <c r="A191" s="46"/>
      <c r="B191" s="43"/>
      <c r="C191" s="52">
        <v>11</v>
      </c>
      <c r="D191" s="62"/>
      <c r="E191" s="26"/>
      <c r="F191" s="23">
        <v>0.08</v>
      </c>
      <c r="G191" s="39">
        <f>H80</f>
        <v>459.81499999999994</v>
      </c>
      <c r="H191" s="15">
        <f t="shared" si="5"/>
        <v>36.785199999999996</v>
      </c>
      <c r="I191" s="17" t="s">
        <v>244</v>
      </c>
      <c r="J191" s="60"/>
      <c r="K191" s="59"/>
    </row>
    <row r="192" spans="1:11" ht="15.75">
      <c r="A192" s="46"/>
      <c r="B192" s="43"/>
      <c r="C192" s="52">
        <v>12</v>
      </c>
      <c r="D192" s="62"/>
      <c r="E192" s="26"/>
      <c r="F192" s="23">
        <v>0.06</v>
      </c>
      <c r="G192" s="39">
        <f>H89</f>
        <v>126.59</v>
      </c>
      <c r="H192" s="15">
        <f t="shared" si="5"/>
        <v>7.5954</v>
      </c>
      <c r="I192" s="17" t="s">
        <v>244</v>
      </c>
      <c r="J192" s="60"/>
      <c r="K192" s="59"/>
    </row>
    <row r="193" spans="1:11" ht="15.75">
      <c r="A193" s="46"/>
      <c r="B193" s="43"/>
      <c r="C193" s="52">
        <v>13</v>
      </c>
      <c r="D193" s="62"/>
      <c r="E193" s="26"/>
      <c r="F193" s="23">
        <v>0.03</v>
      </c>
      <c r="G193" s="39">
        <f>H94</f>
        <v>72.31</v>
      </c>
      <c r="H193" s="15">
        <f t="shared" si="5"/>
        <v>2.1693</v>
      </c>
      <c r="I193" s="17" t="s">
        <v>244</v>
      </c>
      <c r="J193" s="60"/>
      <c r="K193" s="59"/>
    </row>
    <row r="194" spans="1:11" ht="15.75">
      <c r="A194" s="46"/>
      <c r="B194" s="43"/>
      <c r="C194" s="52">
        <v>18</v>
      </c>
      <c r="D194" s="62"/>
      <c r="E194" s="26"/>
      <c r="F194" s="143">
        <v>0.0015</v>
      </c>
      <c r="G194" s="39">
        <f>H156</f>
        <v>759.46</v>
      </c>
      <c r="H194" s="15">
        <f t="shared" si="5"/>
        <v>1.1391900000000001</v>
      </c>
      <c r="I194" s="17" t="s">
        <v>244</v>
      </c>
      <c r="J194" s="60"/>
      <c r="K194" s="59"/>
    </row>
    <row r="195" spans="1:11" ht="15.75">
      <c r="A195" s="46"/>
      <c r="B195" s="43"/>
      <c r="C195" s="52">
        <v>20</v>
      </c>
      <c r="D195" s="62"/>
      <c r="E195" s="26"/>
      <c r="F195" s="23">
        <v>0.5</v>
      </c>
      <c r="G195" s="39">
        <f>H163</f>
        <v>2</v>
      </c>
      <c r="H195" s="15">
        <f t="shared" si="5"/>
        <v>1</v>
      </c>
      <c r="I195" s="17" t="s">
        <v>244</v>
      </c>
      <c r="J195" s="60"/>
      <c r="K195" s="59"/>
    </row>
    <row r="196" spans="1:11" ht="16.5" thickBot="1">
      <c r="A196" s="46"/>
      <c r="B196" s="43"/>
      <c r="C196" s="52" t="s">
        <v>17</v>
      </c>
      <c r="D196" s="62"/>
      <c r="E196" s="26"/>
      <c r="F196" s="23">
        <v>1</v>
      </c>
      <c r="G196" s="39">
        <v>55</v>
      </c>
      <c r="H196" s="35">
        <f t="shared" si="5"/>
        <v>55</v>
      </c>
      <c r="I196" s="17" t="s">
        <v>244</v>
      </c>
      <c r="J196" s="60"/>
      <c r="K196" s="59"/>
    </row>
    <row r="197" spans="1:11" ht="15.75">
      <c r="A197" s="46"/>
      <c r="B197" s="43"/>
      <c r="C197" s="52"/>
      <c r="D197" s="23"/>
      <c r="E197" s="26"/>
      <c r="F197" s="23"/>
      <c r="G197" s="20"/>
      <c r="H197" s="24">
        <f>SUM(H178:H196)</f>
        <v>370.70457999999996</v>
      </c>
      <c r="I197" s="17" t="s">
        <v>244</v>
      </c>
      <c r="J197" s="60">
        <v>33.7</v>
      </c>
      <c r="K197" s="59">
        <f>H197*J197</f>
        <v>12492.744346</v>
      </c>
    </row>
    <row r="198" spans="1:11" ht="15.75">
      <c r="A198" s="46"/>
      <c r="B198" s="43"/>
      <c r="C198" s="52"/>
      <c r="D198" s="23"/>
      <c r="E198" s="26"/>
      <c r="F198" s="23"/>
      <c r="G198" s="20"/>
      <c r="H198" s="24"/>
      <c r="I198" s="17"/>
      <c r="J198" s="60"/>
      <c r="K198" s="59"/>
    </row>
    <row r="199" spans="1:11" ht="67.5" customHeight="1">
      <c r="A199" s="46">
        <v>27</v>
      </c>
      <c r="B199" s="47"/>
      <c r="C199" s="54" t="s">
        <v>59</v>
      </c>
      <c r="D199" s="5"/>
      <c r="E199" s="159">
        <v>2</v>
      </c>
      <c r="F199" s="144">
        <f>H197/8</f>
        <v>46.338072499999996</v>
      </c>
      <c r="G199" s="58">
        <v>8</v>
      </c>
      <c r="H199" s="107">
        <f>E199*F199*G199</f>
        <v>741.4091599999999</v>
      </c>
      <c r="I199" s="37" t="s">
        <v>81</v>
      </c>
      <c r="J199" s="60">
        <v>58</v>
      </c>
      <c r="K199" s="59">
        <f>H199*J199</f>
        <v>43001.73127999999</v>
      </c>
    </row>
    <row r="200" spans="1:11" ht="12.75">
      <c r="A200" s="46"/>
      <c r="B200" s="47"/>
      <c r="C200" s="13"/>
      <c r="D200" s="5"/>
      <c r="E200" s="9"/>
      <c r="F200" s="57"/>
      <c r="G200" s="58"/>
      <c r="H200" s="15"/>
      <c r="I200" s="37"/>
      <c r="J200" s="60"/>
      <c r="K200" s="64"/>
    </row>
    <row r="201" spans="1:11" ht="36.75" customHeight="1">
      <c r="A201" s="46">
        <v>28</v>
      </c>
      <c r="B201" s="43"/>
      <c r="C201" s="54" t="s">
        <v>324</v>
      </c>
      <c r="D201" s="5"/>
      <c r="E201" s="9"/>
      <c r="F201" s="42">
        <v>2000</v>
      </c>
      <c r="G201" s="11">
        <f>SUM(H178:H189)</f>
        <v>262.94979</v>
      </c>
      <c r="H201" s="15">
        <f>F201*G201/1000</f>
        <v>525.89958</v>
      </c>
      <c r="I201" s="37" t="s">
        <v>322</v>
      </c>
      <c r="J201" s="60">
        <v>13.5</v>
      </c>
      <c r="K201" s="64">
        <f>H201*J201</f>
        <v>7099.64433</v>
      </c>
    </row>
    <row r="202" spans="1:11" ht="12.75">
      <c r="A202" s="46"/>
      <c r="B202" s="43"/>
      <c r="C202" s="50"/>
      <c r="D202" s="5"/>
      <c r="E202" s="9"/>
      <c r="F202" s="42"/>
      <c r="G202" s="11"/>
      <c r="H202" s="15"/>
      <c r="I202" s="37"/>
      <c r="J202" s="60"/>
      <c r="K202" s="64"/>
    </row>
    <row r="203" spans="1:12" ht="34.5" thickBot="1">
      <c r="A203" s="212">
        <v>29</v>
      </c>
      <c r="B203" s="181"/>
      <c r="C203" s="236" t="s">
        <v>323</v>
      </c>
      <c r="D203" s="74"/>
      <c r="E203" s="183"/>
      <c r="F203" s="239">
        <v>1000</v>
      </c>
      <c r="G203" s="240">
        <f>SUM(H190:H196)</f>
        <v>107.75478999999999</v>
      </c>
      <c r="H203" s="35">
        <f>G203*F203/1000</f>
        <v>107.75478999999999</v>
      </c>
      <c r="I203" s="241" t="s">
        <v>322</v>
      </c>
      <c r="J203" s="238">
        <v>150</v>
      </c>
      <c r="K203" s="233">
        <f>H203*J203</f>
        <v>16163.218499999997</v>
      </c>
      <c r="L203" s="290"/>
    </row>
    <row r="204" spans="1:11" ht="12.75">
      <c r="A204" s="109"/>
      <c r="B204" s="110"/>
      <c r="C204" s="293"/>
      <c r="D204" s="164"/>
      <c r="E204" s="191"/>
      <c r="F204" s="196"/>
      <c r="G204" s="38"/>
      <c r="H204" s="24"/>
      <c r="I204" s="294"/>
      <c r="J204" s="113"/>
      <c r="K204" s="295"/>
    </row>
    <row r="205" spans="1:11" ht="56.25">
      <c r="A205" s="46">
        <v>30</v>
      </c>
      <c r="B205" s="43"/>
      <c r="C205" s="77" t="s">
        <v>26</v>
      </c>
      <c r="D205" s="5"/>
      <c r="E205" s="9"/>
      <c r="F205" s="5"/>
      <c r="G205" s="20"/>
      <c r="H205" s="15"/>
      <c r="I205" s="71"/>
      <c r="J205" s="60"/>
      <c r="K205" s="59"/>
    </row>
    <row r="206" spans="1:11" ht="12.75">
      <c r="A206" s="46"/>
      <c r="B206" s="43"/>
      <c r="C206" s="78" t="s">
        <v>115</v>
      </c>
      <c r="D206" s="5">
        <v>115.8</v>
      </c>
      <c r="E206" s="9"/>
      <c r="F206" s="5">
        <v>3.65</v>
      </c>
      <c r="G206" s="20"/>
      <c r="H206" s="15">
        <f>D206*F206</f>
        <v>422.66999999999996</v>
      </c>
      <c r="I206" s="71" t="s">
        <v>24</v>
      </c>
      <c r="J206" s="60"/>
      <c r="K206" s="59"/>
    </row>
    <row r="207" spans="1:11" ht="13.5" thickBot="1">
      <c r="A207" s="46"/>
      <c r="B207" s="43"/>
      <c r="C207" s="78" t="s">
        <v>253</v>
      </c>
      <c r="D207" s="5">
        <f>134.45+38.3</f>
        <v>172.75</v>
      </c>
      <c r="E207" s="9"/>
      <c r="F207" s="5">
        <v>3</v>
      </c>
      <c r="G207" s="41"/>
      <c r="H207" s="35">
        <f>D207*F207</f>
        <v>518.25</v>
      </c>
      <c r="I207" s="71" t="s">
        <v>24</v>
      </c>
      <c r="J207" s="60"/>
      <c r="K207" s="59"/>
    </row>
    <row r="208" spans="1:11" ht="22.5" customHeight="1">
      <c r="A208" s="46"/>
      <c r="B208" s="43"/>
      <c r="C208" s="78"/>
      <c r="D208" s="5"/>
      <c r="E208" s="9"/>
      <c r="F208" s="5"/>
      <c r="G208" s="2"/>
      <c r="H208" s="24">
        <f>SUM(H206:H207)</f>
        <v>940.92</v>
      </c>
      <c r="I208" s="71" t="s">
        <v>24</v>
      </c>
      <c r="J208" s="60">
        <v>30.4</v>
      </c>
      <c r="K208" s="59">
        <f>H208*J208</f>
        <v>28603.967999999997</v>
      </c>
    </row>
    <row r="209" spans="1:11" ht="22.5" customHeight="1">
      <c r="A209" s="46"/>
      <c r="B209" s="43"/>
      <c r="C209" s="78"/>
      <c r="D209" s="5"/>
      <c r="E209" s="9"/>
      <c r="F209" s="5"/>
      <c r="G209" s="2"/>
      <c r="H209" s="24"/>
      <c r="I209" s="71"/>
      <c r="J209" s="60"/>
      <c r="K209" s="59"/>
    </row>
    <row r="210" spans="1:11" ht="45">
      <c r="A210" s="46">
        <v>31</v>
      </c>
      <c r="B210" s="43"/>
      <c r="C210" s="77" t="s">
        <v>116</v>
      </c>
      <c r="D210" s="5"/>
      <c r="E210" s="9"/>
      <c r="F210" s="5"/>
      <c r="G210" s="20"/>
      <c r="H210" s="15"/>
      <c r="I210" s="71"/>
      <c r="J210" s="60"/>
      <c r="K210" s="59"/>
    </row>
    <row r="211" spans="1:11" ht="12.75">
      <c r="A211" s="46"/>
      <c r="B211" s="43"/>
      <c r="C211" s="78" t="s">
        <v>115</v>
      </c>
      <c r="D211" s="5">
        <v>13.05</v>
      </c>
      <c r="E211" s="9"/>
      <c r="F211" s="5">
        <v>3.65</v>
      </c>
      <c r="G211" s="20"/>
      <c r="H211" s="15">
        <f>D211*F211</f>
        <v>47.6325</v>
      </c>
      <c r="I211" s="71" t="s">
        <v>24</v>
      </c>
      <c r="J211" s="60"/>
      <c r="K211" s="59"/>
    </row>
    <row r="212" spans="1:11" ht="13.5" thickBot="1">
      <c r="A212" s="46"/>
      <c r="B212" s="43"/>
      <c r="C212" s="78" t="s">
        <v>253</v>
      </c>
      <c r="D212" s="5">
        <v>16.65</v>
      </c>
      <c r="E212" s="9"/>
      <c r="F212" s="5">
        <v>3</v>
      </c>
      <c r="G212" s="41"/>
      <c r="H212" s="35">
        <f>D212*F212</f>
        <v>49.949999999999996</v>
      </c>
      <c r="I212" s="71" t="s">
        <v>24</v>
      </c>
      <c r="J212" s="60"/>
      <c r="K212" s="59"/>
    </row>
    <row r="213" spans="1:11" ht="22.5" customHeight="1">
      <c r="A213" s="46"/>
      <c r="B213" s="43"/>
      <c r="C213" s="78"/>
      <c r="D213" s="5"/>
      <c r="E213" s="9"/>
      <c r="F213" s="5"/>
      <c r="G213" s="2"/>
      <c r="H213" s="24">
        <f>SUM(H211:H212)</f>
        <v>97.5825</v>
      </c>
      <c r="I213" s="71" t="s">
        <v>24</v>
      </c>
      <c r="J213" s="60">
        <v>37.7</v>
      </c>
      <c r="K213" s="59">
        <f>H213*J213</f>
        <v>3678.86025</v>
      </c>
    </row>
    <row r="214" spans="1:11" ht="10.5" customHeight="1">
      <c r="A214" s="46"/>
      <c r="B214" s="43"/>
      <c r="C214" s="78"/>
      <c r="D214" s="5"/>
      <c r="E214" s="9"/>
      <c r="F214" s="5"/>
      <c r="G214" s="2"/>
      <c r="H214" s="15"/>
      <c r="I214" s="71"/>
      <c r="J214" s="60"/>
      <c r="K214" s="59"/>
    </row>
    <row r="215" spans="1:11" ht="112.5">
      <c r="A215" s="46">
        <v>32</v>
      </c>
      <c r="B215" s="43"/>
      <c r="C215" s="77" t="s">
        <v>288</v>
      </c>
      <c r="D215" s="5"/>
      <c r="E215" s="9"/>
      <c r="F215" s="5"/>
      <c r="G215" s="20"/>
      <c r="H215" s="15"/>
      <c r="I215" s="71" t="s">
        <v>24</v>
      </c>
      <c r="J215" s="60"/>
      <c r="K215" s="59"/>
    </row>
    <row r="216" spans="1:11" ht="12.75">
      <c r="A216" s="46"/>
      <c r="B216" s="43"/>
      <c r="C216" s="77" t="s">
        <v>117</v>
      </c>
      <c r="D216" s="5">
        <v>78.35</v>
      </c>
      <c r="E216" s="9"/>
      <c r="F216" s="5">
        <v>3.6</v>
      </c>
      <c r="G216" s="20">
        <v>2</v>
      </c>
      <c r="H216" s="15">
        <f>D216*F216*G216</f>
        <v>564.12</v>
      </c>
      <c r="I216" s="71" t="s">
        <v>24</v>
      </c>
      <c r="J216" s="60"/>
      <c r="K216" s="59"/>
    </row>
    <row r="217" spans="1:11" ht="12.75">
      <c r="A217" s="46"/>
      <c r="B217" s="43"/>
      <c r="C217" s="77" t="s">
        <v>118</v>
      </c>
      <c r="D217" s="5">
        <v>59.15</v>
      </c>
      <c r="E217" s="9"/>
      <c r="F217" s="5">
        <v>1.4</v>
      </c>
      <c r="G217" s="20"/>
      <c r="H217" s="15">
        <f aca="true" t="shared" si="6" ref="H217:H227">D217*F217</f>
        <v>82.80999999999999</v>
      </c>
      <c r="I217" s="71" t="s">
        <v>24</v>
      </c>
      <c r="J217" s="60"/>
      <c r="K217" s="59"/>
    </row>
    <row r="218" spans="1:11" ht="12.75">
      <c r="A218" s="46"/>
      <c r="B218" s="43"/>
      <c r="C218" s="77" t="s">
        <v>118</v>
      </c>
      <c r="D218" s="5">
        <v>11.7</v>
      </c>
      <c r="E218" s="9"/>
      <c r="F218" s="5">
        <v>3.6</v>
      </c>
      <c r="G218" s="20"/>
      <c r="H218" s="15">
        <f t="shared" si="6"/>
        <v>42.12</v>
      </c>
      <c r="I218" s="71" t="s">
        <v>24</v>
      </c>
      <c r="J218" s="60"/>
      <c r="K218" s="59"/>
    </row>
    <row r="219" spans="1:11" ht="12.75">
      <c r="A219" s="46"/>
      <c r="B219" s="43"/>
      <c r="C219" s="77" t="s">
        <v>119</v>
      </c>
      <c r="D219" s="5">
        <v>20.2</v>
      </c>
      <c r="E219" s="9"/>
      <c r="F219" s="5">
        <v>1.4</v>
      </c>
      <c r="G219" s="20"/>
      <c r="H219" s="15">
        <f t="shared" si="6"/>
        <v>28.279999999999998</v>
      </c>
      <c r="I219" s="71" t="s">
        <v>24</v>
      </c>
      <c r="J219" s="60"/>
      <c r="K219" s="59"/>
    </row>
    <row r="220" spans="1:11" ht="12.75">
      <c r="A220" s="46"/>
      <c r="B220" s="43"/>
      <c r="C220" s="77" t="s">
        <v>119</v>
      </c>
      <c r="D220" s="5">
        <v>4.2</v>
      </c>
      <c r="E220" s="9"/>
      <c r="F220" s="5">
        <v>3.6</v>
      </c>
      <c r="G220" s="20"/>
      <c r="H220" s="15">
        <f t="shared" si="6"/>
        <v>15.120000000000001</v>
      </c>
      <c r="I220" s="71" t="s">
        <v>24</v>
      </c>
      <c r="J220" s="60"/>
      <c r="K220" s="59"/>
    </row>
    <row r="221" spans="1:11" ht="12.75">
      <c r="A221" s="46"/>
      <c r="B221" s="43"/>
      <c r="C221" s="77" t="s">
        <v>253</v>
      </c>
      <c r="D221" s="5">
        <f>77.95+38.3</f>
        <v>116.25</v>
      </c>
      <c r="E221" s="9"/>
      <c r="F221" s="5">
        <v>3.2</v>
      </c>
      <c r="G221" s="20">
        <v>2</v>
      </c>
      <c r="H221" s="15">
        <f>D221*F221*G221</f>
        <v>744</v>
      </c>
      <c r="I221" s="71" t="s">
        <v>24</v>
      </c>
      <c r="J221" s="60"/>
      <c r="K221" s="59"/>
    </row>
    <row r="222" spans="1:11" ht="12.75">
      <c r="A222" s="46"/>
      <c r="B222" s="43"/>
      <c r="C222" s="77" t="s">
        <v>120</v>
      </c>
      <c r="D222" s="5">
        <v>3.5</v>
      </c>
      <c r="E222" s="9"/>
      <c r="F222" s="5">
        <v>2.45</v>
      </c>
      <c r="G222" s="20"/>
      <c r="H222" s="15">
        <f t="shared" si="6"/>
        <v>8.575000000000001</v>
      </c>
      <c r="I222" s="71" t="s">
        <v>24</v>
      </c>
      <c r="J222" s="60"/>
      <c r="K222" s="59"/>
    </row>
    <row r="223" spans="1:11" ht="12.75">
      <c r="A223" s="46"/>
      <c r="B223" s="43"/>
      <c r="C223" s="77" t="s">
        <v>121</v>
      </c>
      <c r="D223" s="5">
        <v>51.7</v>
      </c>
      <c r="E223" s="9"/>
      <c r="F223" s="5">
        <v>1</v>
      </c>
      <c r="G223" s="20"/>
      <c r="H223" s="15">
        <f t="shared" si="6"/>
        <v>51.7</v>
      </c>
      <c r="I223" s="71" t="s">
        <v>24</v>
      </c>
      <c r="J223" s="60"/>
      <c r="K223" s="59"/>
    </row>
    <row r="224" spans="1:11" ht="12.75">
      <c r="A224" s="46"/>
      <c r="B224" s="43"/>
      <c r="C224" s="77" t="s">
        <v>121</v>
      </c>
      <c r="D224" s="5">
        <v>18</v>
      </c>
      <c r="E224" s="9"/>
      <c r="F224" s="5">
        <v>3.2</v>
      </c>
      <c r="G224" s="20"/>
      <c r="H224" s="15">
        <f t="shared" si="6"/>
        <v>57.6</v>
      </c>
      <c r="I224" s="71" t="s">
        <v>24</v>
      </c>
      <c r="J224" s="60"/>
      <c r="K224" s="59"/>
    </row>
    <row r="225" spans="1:11" ht="12.75">
      <c r="A225" s="46"/>
      <c r="B225" s="43"/>
      <c r="C225" s="77" t="s">
        <v>122</v>
      </c>
      <c r="D225" s="5">
        <v>16.35</v>
      </c>
      <c r="E225" s="9"/>
      <c r="F225" s="5">
        <v>3.2</v>
      </c>
      <c r="G225" s="20"/>
      <c r="H225" s="15">
        <f t="shared" si="6"/>
        <v>52.32000000000001</v>
      </c>
      <c r="I225" s="71" t="s">
        <v>24</v>
      </c>
      <c r="J225" s="60"/>
      <c r="K225" s="59"/>
    </row>
    <row r="226" spans="1:11" ht="12.75">
      <c r="A226" s="46"/>
      <c r="B226" s="43"/>
      <c r="C226" s="77" t="s">
        <v>123</v>
      </c>
      <c r="D226" s="5">
        <v>67.2</v>
      </c>
      <c r="E226" s="9"/>
      <c r="F226" s="5">
        <v>1</v>
      </c>
      <c r="G226" s="20"/>
      <c r="H226" s="15">
        <f t="shared" si="6"/>
        <v>67.2</v>
      </c>
      <c r="I226" s="71" t="s">
        <v>24</v>
      </c>
      <c r="J226" s="60"/>
      <c r="K226" s="59"/>
    </row>
    <row r="227" spans="1:11" ht="13.5" thickBot="1">
      <c r="A227" s="46"/>
      <c r="B227" s="43"/>
      <c r="C227" s="77" t="s">
        <v>124</v>
      </c>
      <c r="D227" s="5">
        <v>20.15</v>
      </c>
      <c r="E227" s="9"/>
      <c r="F227" s="5">
        <v>3.2</v>
      </c>
      <c r="G227" s="20"/>
      <c r="H227" s="35">
        <f t="shared" si="6"/>
        <v>64.48</v>
      </c>
      <c r="I227" s="71" t="s">
        <v>24</v>
      </c>
      <c r="J227" s="60"/>
      <c r="K227" s="59"/>
    </row>
    <row r="228" spans="1:11" ht="12.75">
      <c r="A228" s="46"/>
      <c r="B228" s="43"/>
      <c r="C228" s="78"/>
      <c r="D228" s="5"/>
      <c r="E228" s="9"/>
      <c r="F228" s="5"/>
      <c r="G228" s="20"/>
      <c r="H228" s="24">
        <f>SUM(H216:H227)</f>
        <v>1778.3249999999998</v>
      </c>
      <c r="I228" s="71" t="s">
        <v>24</v>
      </c>
      <c r="J228" s="60">
        <v>33.4</v>
      </c>
      <c r="K228" s="59">
        <f>H228*J228</f>
        <v>59396.05499999999</v>
      </c>
    </row>
    <row r="229" spans="1:11" ht="12.75">
      <c r="A229" s="46"/>
      <c r="B229" s="43"/>
      <c r="C229" s="78"/>
      <c r="D229" s="5"/>
      <c r="E229" s="9"/>
      <c r="F229" s="5"/>
      <c r="G229" s="20"/>
      <c r="H229" s="24"/>
      <c r="I229" s="71"/>
      <c r="J229" s="60"/>
      <c r="K229" s="59"/>
    </row>
    <row r="230" spans="1:11" ht="123.75">
      <c r="A230" s="46">
        <v>33</v>
      </c>
      <c r="B230" s="43"/>
      <c r="C230" s="77" t="s">
        <v>11</v>
      </c>
      <c r="D230" s="5"/>
      <c r="E230" s="9"/>
      <c r="F230" s="5"/>
      <c r="G230" s="20"/>
      <c r="H230" s="24">
        <v>3</v>
      </c>
      <c r="I230" s="71" t="s">
        <v>230</v>
      </c>
      <c r="J230" s="60">
        <v>700</v>
      </c>
      <c r="K230" s="59">
        <f>H230*J230</f>
        <v>2100</v>
      </c>
    </row>
    <row r="231" spans="1:11" ht="12.75">
      <c r="A231" s="46"/>
      <c r="B231" s="43"/>
      <c r="C231" s="77"/>
      <c r="D231" s="5"/>
      <c r="E231" s="9"/>
      <c r="F231" s="5"/>
      <c r="G231" s="20"/>
      <c r="H231" s="24"/>
      <c r="I231" s="71"/>
      <c r="J231" s="60"/>
      <c r="K231" s="59"/>
    </row>
    <row r="232" spans="1:11" ht="56.25">
      <c r="A232" s="46">
        <v>34</v>
      </c>
      <c r="B232" s="43"/>
      <c r="C232" s="77" t="s">
        <v>261</v>
      </c>
      <c r="D232" s="5"/>
      <c r="E232" s="9"/>
      <c r="F232" s="5"/>
      <c r="G232" s="20"/>
      <c r="H232" s="107">
        <f>H244+H252+H257</f>
        <v>1336.7025</v>
      </c>
      <c r="I232" s="71" t="s">
        <v>243</v>
      </c>
      <c r="J232" s="3">
        <v>4</v>
      </c>
      <c r="K232" s="59">
        <f>H232*J232</f>
        <v>5346.81</v>
      </c>
    </row>
    <row r="233" spans="1:11" ht="12.75">
      <c r="A233" s="46"/>
      <c r="B233" s="43"/>
      <c r="C233" s="78"/>
      <c r="D233" s="5"/>
      <c r="E233" s="9"/>
      <c r="F233" s="5"/>
      <c r="G233" s="20"/>
      <c r="H233" s="107"/>
      <c r="I233" s="71"/>
      <c r="J233" s="3"/>
      <c r="K233" s="59"/>
    </row>
    <row r="234" spans="1:11" ht="135">
      <c r="A234" s="46">
        <v>35</v>
      </c>
      <c r="B234" s="43"/>
      <c r="C234" s="77" t="s">
        <v>262</v>
      </c>
      <c r="D234" s="5"/>
      <c r="E234" s="9"/>
      <c r="F234" s="5"/>
      <c r="G234" s="20"/>
      <c r="H234" s="15"/>
      <c r="I234" s="71"/>
      <c r="J234" s="3"/>
      <c r="K234" s="59"/>
    </row>
    <row r="235" spans="1:11" ht="12.75">
      <c r="A235" s="46"/>
      <c r="B235" s="43"/>
      <c r="C235" s="78" t="s">
        <v>335</v>
      </c>
      <c r="D235" s="5"/>
      <c r="E235" s="9"/>
      <c r="F235" s="5">
        <v>2.2</v>
      </c>
      <c r="G235" s="20">
        <v>1.15</v>
      </c>
      <c r="H235" s="107">
        <f>(3.95+1.64+1.28+4.06+1.26+8.39+2.17+2)*2.2*G235</f>
        <v>62.6175</v>
      </c>
      <c r="I235" s="71" t="s">
        <v>24</v>
      </c>
      <c r="J235" s="3"/>
      <c r="K235" s="59"/>
    </row>
    <row r="236" spans="1:11" ht="12.75">
      <c r="A236" s="46"/>
      <c r="B236" s="43"/>
      <c r="C236" s="78" t="s">
        <v>338</v>
      </c>
      <c r="D236" s="5"/>
      <c r="E236" s="9"/>
      <c r="F236" s="5">
        <v>2.2</v>
      </c>
      <c r="G236" s="20">
        <v>1.15</v>
      </c>
      <c r="H236" s="107">
        <f>(4.97+2.1+2.27)*2.2*G236</f>
        <v>23.6302</v>
      </c>
      <c r="I236" s="71" t="s">
        <v>24</v>
      </c>
      <c r="J236" s="3"/>
      <c r="K236" s="59"/>
    </row>
    <row r="237" spans="1:11" ht="12.75">
      <c r="A237" s="46"/>
      <c r="B237" s="43"/>
      <c r="C237" s="78" t="s">
        <v>2</v>
      </c>
      <c r="D237" s="5"/>
      <c r="E237" s="9"/>
      <c r="F237" s="5">
        <v>2.2</v>
      </c>
      <c r="G237" s="20">
        <v>1.15</v>
      </c>
      <c r="H237" s="15">
        <f>3.51*2.2*G237</f>
        <v>8.8803</v>
      </c>
      <c r="I237" s="71" t="s">
        <v>24</v>
      </c>
      <c r="J237" s="3"/>
      <c r="K237" s="59"/>
    </row>
    <row r="238" spans="1:11" ht="12.75">
      <c r="A238" s="46"/>
      <c r="B238" s="43"/>
      <c r="C238" s="78" t="s">
        <v>337</v>
      </c>
      <c r="D238" s="5"/>
      <c r="E238" s="9"/>
      <c r="F238" s="5">
        <v>2.2</v>
      </c>
      <c r="G238" s="20">
        <v>1.15</v>
      </c>
      <c r="H238" s="107">
        <f>(3.56+3.07)*2.2*G238</f>
        <v>16.773899999999998</v>
      </c>
      <c r="I238" s="71" t="s">
        <v>24</v>
      </c>
      <c r="J238" s="3"/>
      <c r="K238" s="59"/>
    </row>
    <row r="239" spans="1:11" ht="12.75">
      <c r="A239" s="46"/>
      <c r="B239" s="43"/>
      <c r="C239" s="78" t="s">
        <v>3</v>
      </c>
      <c r="D239" s="5"/>
      <c r="E239" s="9"/>
      <c r="F239" s="5">
        <v>2.2</v>
      </c>
      <c r="G239" s="20">
        <v>1.15</v>
      </c>
      <c r="H239" s="107">
        <f>(2.54+2.56+2.34+6.35+5.35+2.41+2.3+2.8+2.8)*2.2*G239</f>
        <v>74.5085</v>
      </c>
      <c r="I239" s="71" t="s">
        <v>24</v>
      </c>
      <c r="J239" s="3"/>
      <c r="K239" s="59"/>
    </row>
    <row r="240" spans="1:11" ht="12.75">
      <c r="A240" s="46"/>
      <c r="B240" s="43"/>
      <c r="C240" s="78" t="s">
        <v>339</v>
      </c>
      <c r="D240" s="5"/>
      <c r="E240" s="9"/>
      <c r="F240" s="5">
        <v>2.2</v>
      </c>
      <c r="G240" s="20">
        <v>1.15</v>
      </c>
      <c r="H240" s="107">
        <f>(3.95+1.64+1.28+4.06+1.58+2+2.01+8.74)*2.2*G240</f>
        <v>63.9078</v>
      </c>
      <c r="I240" s="71" t="s">
        <v>24</v>
      </c>
      <c r="J240" s="3"/>
      <c r="K240" s="59"/>
    </row>
    <row r="241" spans="1:11" ht="12.75">
      <c r="A241" s="46"/>
      <c r="B241" s="43"/>
      <c r="C241" s="78" t="s">
        <v>1</v>
      </c>
      <c r="D241" s="5"/>
      <c r="E241" s="9"/>
      <c r="F241" s="5">
        <v>2.2</v>
      </c>
      <c r="G241" s="20">
        <v>1.15</v>
      </c>
      <c r="H241" s="63">
        <f>(3.51*G241)*2.2</f>
        <v>8.8803</v>
      </c>
      <c r="I241" s="71" t="s">
        <v>24</v>
      </c>
      <c r="J241" s="3"/>
      <c r="K241" s="59"/>
    </row>
    <row r="242" spans="1:11" ht="22.5">
      <c r="A242" s="46"/>
      <c r="B242" s="43"/>
      <c r="C242" s="78" t="s">
        <v>12</v>
      </c>
      <c r="D242" s="5"/>
      <c r="E242" s="9"/>
      <c r="F242" s="5"/>
      <c r="G242" s="20">
        <v>1.15</v>
      </c>
      <c r="H242" s="15">
        <f>189.29*G242</f>
        <v>217.68349999999998</v>
      </c>
      <c r="I242" s="71" t="s">
        <v>24</v>
      </c>
      <c r="J242" s="3"/>
      <c r="K242" s="59"/>
    </row>
    <row r="243" spans="1:11" ht="13.5" thickBot="1">
      <c r="A243" s="46"/>
      <c r="B243" s="43"/>
      <c r="C243" s="78" t="s">
        <v>13</v>
      </c>
      <c r="D243" s="5"/>
      <c r="E243" s="9"/>
      <c r="F243" s="5"/>
      <c r="G243" s="20">
        <v>1.15</v>
      </c>
      <c r="H243" s="35">
        <f>59.84*G243</f>
        <v>68.816</v>
      </c>
      <c r="I243" s="71" t="s">
        <v>24</v>
      </c>
      <c r="J243" s="3"/>
      <c r="K243" s="59"/>
    </row>
    <row r="244" spans="1:11" ht="12.75">
      <c r="A244" s="46"/>
      <c r="B244" s="43"/>
      <c r="C244" s="78"/>
      <c r="D244" s="5"/>
      <c r="E244" s="9"/>
      <c r="F244" s="5"/>
      <c r="G244" s="20"/>
      <c r="H244" s="24">
        <f>SUM(H235:H243)</f>
        <v>545.698</v>
      </c>
      <c r="I244" s="71" t="s">
        <v>24</v>
      </c>
      <c r="J244" s="60">
        <v>77.88</v>
      </c>
      <c r="K244" s="59">
        <f>H244*J244</f>
        <v>42498.96023999999</v>
      </c>
    </row>
    <row r="245" spans="1:11" ht="12.75">
      <c r="A245" s="46"/>
      <c r="B245" s="43"/>
      <c r="C245" s="78"/>
      <c r="D245" s="5"/>
      <c r="E245" s="9"/>
      <c r="F245" s="5"/>
      <c r="G245" s="20"/>
      <c r="H245" s="15"/>
      <c r="I245" s="71"/>
      <c r="J245" s="3"/>
      <c r="K245" s="59"/>
    </row>
    <row r="246" spans="1:11" ht="270">
      <c r="A246" s="46">
        <v>36</v>
      </c>
      <c r="B246" s="43"/>
      <c r="C246" s="77" t="s">
        <v>97</v>
      </c>
      <c r="D246" s="5"/>
      <c r="E246" s="9"/>
      <c r="F246" s="5"/>
      <c r="G246" s="20"/>
      <c r="H246" s="107"/>
      <c r="I246" s="71"/>
      <c r="J246" s="3"/>
      <c r="K246" s="59"/>
    </row>
    <row r="247" spans="1:11" ht="22.5">
      <c r="A247" s="46"/>
      <c r="B247" s="43"/>
      <c r="C247" s="78" t="s">
        <v>6</v>
      </c>
      <c r="D247" s="5">
        <v>250.38</v>
      </c>
      <c r="E247" s="9"/>
      <c r="F247" s="5"/>
      <c r="G247" s="20">
        <v>1.25</v>
      </c>
      <c r="H247" s="15">
        <f>D247*G247</f>
        <v>312.975</v>
      </c>
      <c r="I247" s="71" t="s">
        <v>243</v>
      </c>
      <c r="J247" s="3"/>
      <c r="K247" s="59"/>
    </row>
    <row r="248" spans="1:11" ht="12.75">
      <c r="A248" s="46"/>
      <c r="B248" s="43"/>
      <c r="C248" s="78" t="s">
        <v>4</v>
      </c>
      <c r="D248" s="5">
        <v>129.25</v>
      </c>
      <c r="E248" s="9"/>
      <c r="F248" s="5"/>
      <c r="G248" s="20">
        <v>1.25</v>
      </c>
      <c r="H248" s="15">
        <f>D248*G248</f>
        <v>161.5625</v>
      </c>
      <c r="I248" s="71" t="s">
        <v>243</v>
      </c>
      <c r="J248" s="3"/>
      <c r="K248" s="59"/>
    </row>
    <row r="249" spans="1:11" ht="25.5" customHeight="1">
      <c r="A249" s="46"/>
      <c r="B249" s="43"/>
      <c r="C249" s="78" t="s">
        <v>5</v>
      </c>
      <c r="D249" s="5">
        <v>262</v>
      </c>
      <c r="E249" s="9"/>
      <c r="F249" s="5"/>
      <c r="G249" s="20">
        <v>1.25</v>
      </c>
      <c r="H249" s="15">
        <f>D249*G249</f>
        <v>327.5</v>
      </c>
      <c r="I249" s="71" t="s">
        <v>243</v>
      </c>
      <c r="J249" s="3"/>
      <c r="K249" s="59"/>
    </row>
    <row r="250" spans="1:11" ht="12.75">
      <c r="A250" s="46"/>
      <c r="B250" s="43"/>
      <c r="C250" s="78" t="s">
        <v>9</v>
      </c>
      <c r="D250" s="166">
        <f>-D255</f>
        <v>-57.79</v>
      </c>
      <c r="E250" s="9"/>
      <c r="F250" s="5"/>
      <c r="G250" s="20">
        <v>1.25</v>
      </c>
      <c r="H250" s="15">
        <f>D250*G250</f>
        <v>-72.2375</v>
      </c>
      <c r="I250" s="71" t="s">
        <v>243</v>
      </c>
      <c r="J250" s="3"/>
      <c r="K250" s="59"/>
    </row>
    <row r="251" spans="1:11" ht="13.5" thickBot="1">
      <c r="A251" s="46"/>
      <c r="B251" s="43"/>
      <c r="C251" s="78" t="s">
        <v>10</v>
      </c>
      <c r="D251" s="166">
        <f>-D256</f>
        <v>-52.54</v>
      </c>
      <c r="E251" s="9"/>
      <c r="F251" s="5"/>
      <c r="G251" s="20">
        <v>1.25</v>
      </c>
      <c r="H251" s="61">
        <f>D251*G251</f>
        <v>-65.675</v>
      </c>
      <c r="I251" s="71" t="s">
        <v>243</v>
      </c>
      <c r="J251" s="3"/>
      <c r="K251" s="59"/>
    </row>
    <row r="252" spans="1:11" ht="12.75">
      <c r="A252" s="46"/>
      <c r="B252" s="43"/>
      <c r="C252" s="77"/>
      <c r="D252" s="5"/>
      <c r="E252" s="9"/>
      <c r="F252" s="5"/>
      <c r="G252" s="20"/>
      <c r="H252" s="115">
        <f>SUM(H247:H251)</f>
        <v>664.1250000000001</v>
      </c>
      <c r="I252" s="71" t="s">
        <v>243</v>
      </c>
      <c r="J252" s="165">
        <f>36.6*1.3</f>
        <v>47.580000000000005</v>
      </c>
      <c r="K252" s="59">
        <f>H252*J252</f>
        <v>31599.06750000001</v>
      </c>
    </row>
    <row r="253" spans="1:11" ht="12.75">
      <c r="A253" s="46"/>
      <c r="B253" s="43"/>
      <c r="C253" s="77"/>
      <c r="D253" s="5"/>
      <c r="E253" s="9"/>
      <c r="F253" s="5"/>
      <c r="G253" s="20"/>
      <c r="H253" s="163"/>
      <c r="I253" s="71"/>
      <c r="J253" s="3"/>
      <c r="K253" s="59"/>
    </row>
    <row r="254" spans="1:11" ht="202.5">
      <c r="A254" s="46">
        <v>37</v>
      </c>
      <c r="B254" s="43"/>
      <c r="C254" s="77" t="s">
        <v>227</v>
      </c>
      <c r="D254" s="5"/>
      <c r="E254" s="9"/>
      <c r="F254" s="5"/>
      <c r="G254" s="20"/>
      <c r="H254" s="107"/>
      <c r="I254" s="71"/>
      <c r="J254" s="3"/>
      <c r="K254" s="59"/>
    </row>
    <row r="255" spans="1:11" ht="12.75">
      <c r="A255" s="46"/>
      <c r="B255" s="43"/>
      <c r="C255" s="77" t="s">
        <v>7</v>
      </c>
      <c r="D255" s="5">
        <v>57.79</v>
      </c>
      <c r="E255" s="9"/>
      <c r="F255" s="5"/>
      <c r="G255" s="20">
        <v>1.15</v>
      </c>
      <c r="H255" s="107">
        <f>D255*G255</f>
        <v>66.4585</v>
      </c>
      <c r="I255" s="71" t="s">
        <v>243</v>
      </c>
      <c r="J255" s="3"/>
      <c r="K255" s="59"/>
    </row>
    <row r="256" spans="1:11" ht="13.5" thickBot="1">
      <c r="A256" s="46"/>
      <c r="B256" s="43"/>
      <c r="C256" s="77" t="s">
        <v>8</v>
      </c>
      <c r="D256" s="5">
        <v>52.54</v>
      </c>
      <c r="E256" s="9"/>
      <c r="F256" s="5"/>
      <c r="G256" s="20">
        <v>1.15</v>
      </c>
      <c r="H256" s="108">
        <f>D256*G256</f>
        <v>60.42099999999999</v>
      </c>
      <c r="I256" s="71" t="s">
        <v>243</v>
      </c>
      <c r="J256" s="3"/>
      <c r="K256" s="59"/>
    </row>
    <row r="257" spans="1:11" ht="12.75">
      <c r="A257" s="46"/>
      <c r="B257" s="43"/>
      <c r="C257" s="77"/>
      <c r="D257" s="5"/>
      <c r="E257" s="9"/>
      <c r="F257" s="5"/>
      <c r="G257" s="20"/>
      <c r="H257" s="115">
        <f>H255+H256</f>
        <v>126.8795</v>
      </c>
      <c r="I257" s="71" t="s">
        <v>243</v>
      </c>
      <c r="J257" s="165">
        <f>48.3*1.2</f>
        <v>57.959999999999994</v>
      </c>
      <c r="K257" s="59">
        <f>H257*J257</f>
        <v>7353.935819999999</v>
      </c>
    </row>
    <row r="258" spans="1:11" ht="12.75">
      <c r="A258" s="46"/>
      <c r="B258" s="43"/>
      <c r="C258" s="77"/>
      <c r="D258" s="5"/>
      <c r="E258" s="9"/>
      <c r="F258" s="5"/>
      <c r="G258" s="20"/>
      <c r="H258" s="15"/>
      <c r="I258" s="71"/>
      <c r="J258" s="60"/>
      <c r="K258" s="59"/>
    </row>
    <row r="259" spans="1:11" ht="101.25">
      <c r="A259" s="46">
        <v>38</v>
      </c>
      <c r="B259" s="43"/>
      <c r="C259" s="77" t="s">
        <v>14</v>
      </c>
      <c r="D259" s="5"/>
      <c r="E259" s="9"/>
      <c r="F259" s="5"/>
      <c r="G259" s="20"/>
      <c r="H259" s="15"/>
      <c r="I259" s="71"/>
      <c r="J259" s="60"/>
      <c r="K259" s="59"/>
    </row>
    <row r="260" spans="1:11" ht="12.75">
      <c r="A260" s="46"/>
      <c r="B260" s="43"/>
      <c r="C260" s="77" t="s">
        <v>29</v>
      </c>
      <c r="D260" s="5"/>
      <c r="E260" s="9"/>
      <c r="F260" s="5"/>
      <c r="G260" s="20">
        <v>0</v>
      </c>
      <c r="H260" s="15">
        <v>1</v>
      </c>
      <c r="I260" s="71" t="s">
        <v>251</v>
      </c>
      <c r="J260" s="60">
        <v>2250</v>
      </c>
      <c r="K260" s="59">
        <f>H260*J260</f>
        <v>2250</v>
      </c>
    </row>
    <row r="261" spans="1:11" ht="12.75">
      <c r="A261" s="46"/>
      <c r="B261" s="43"/>
      <c r="C261" s="77"/>
      <c r="D261" s="5"/>
      <c r="E261" s="9"/>
      <c r="F261" s="5"/>
      <c r="G261" s="20"/>
      <c r="H261" s="15"/>
      <c r="I261" s="71"/>
      <c r="J261" s="60"/>
      <c r="K261" s="59"/>
    </row>
    <row r="262" spans="1:11" ht="123.75">
      <c r="A262" s="46">
        <v>39</v>
      </c>
      <c r="B262" s="43"/>
      <c r="C262" s="77" t="s">
        <v>340</v>
      </c>
      <c r="D262" s="5"/>
      <c r="E262" s="9"/>
      <c r="F262" s="5"/>
      <c r="G262" s="20"/>
      <c r="H262" s="15"/>
      <c r="I262" s="71"/>
      <c r="J262" s="60"/>
      <c r="K262" s="59"/>
    </row>
    <row r="263" spans="1:11" ht="12.75">
      <c r="A263" s="46"/>
      <c r="B263" s="43"/>
      <c r="C263" s="77" t="s">
        <v>125</v>
      </c>
      <c r="D263" s="5"/>
      <c r="E263" s="9"/>
      <c r="F263" s="5"/>
      <c r="G263" s="20"/>
      <c r="H263" s="15">
        <v>130</v>
      </c>
      <c r="I263" s="71" t="s">
        <v>63</v>
      </c>
      <c r="J263" s="60"/>
      <c r="K263" s="59"/>
    </row>
    <row r="264" spans="1:11" ht="12.75">
      <c r="A264" s="46"/>
      <c r="B264" s="43"/>
      <c r="C264" s="77" t="s">
        <v>126</v>
      </c>
      <c r="D264" s="5"/>
      <c r="E264" s="9"/>
      <c r="F264" s="5"/>
      <c r="G264" s="20"/>
      <c r="H264" s="15">
        <v>170</v>
      </c>
      <c r="I264" s="71" t="s">
        <v>63</v>
      </c>
      <c r="J264" s="60"/>
      <c r="K264" s="59"/>
    </row>
    <row r="265" spans="1:11" ht="12.75">
      <c r="A265" s="46"/>
      <c r="B265" s="43"/>
      <c r="C265" s="77" t="s">
        <v>94</v>
      </c>
      <c r="D265" s="5"/>
      <c r="E265" s="9"/>
      <c r="F265" s="5"/>
      <c r="G265" s="20"/>
      <c r="H265" s="15">
        <v>130</v>
      </c>
      <c r="I265" s="71" t="s">
        <v>63</v>
      </c>
      <c r="J265" s="60"/>
      <c r="K265" s="59"/>
    </row>
    <row r="266" spans="1:11" ht="12.75">
      <c r="A266" s="46"/>
      <c r="B266" s="43"/>
      <c r="C266" s="77" t="s">
        <v>95</v>
      </c>
      <c r="D266" s="5"/>
      <c r="E266" s="9"/>
      <c r="F266" s="5"/>
      <c r="G266" s="20"/>
      <c r="H266" s="15">
        <v>170</v>
      </c>
      <c r="I266" s="71" t="s">
        <v>63</v>
      </c>
      <c r="J266" s="60"/>
      <c r="K266" s="59"/>
    </row>
    <row r="267" spans="1:11" ht="21.75" customHeight="1" thickBot="1">
      <c r="A267" s="46"/>
      <c r="B267" s="43"/>
      <c r="C267" s="77" t="s">
        <v>96</v>
      </c>
      <c r="D267" s="5"/>
      <c r="E267" s="9"/>
      <c r="F267" s="5"/>
      <c r="G267" s="20"/>
      <c r="H267" s="35">
        <v>80</v>
      </c>
      <c r="I267" s="71" t="s">
        <v>63</v>
      </c>
      <c r="J267" s="60"/>
      <c r="K267" s="59"/>
    </row>
    <row r="268" spans="1:11" ht="12.75">
      <c r="A268" s="46"/>
      <c r="B268" s="43"/>
      <c r="C268" s="77"/>
      <c r="D268" s="5"/>
      <c r="E268" s="9"/>
      <c r="F268" s="5"/>
      <c r="G268" s="20"/>
      <c r="H268" s="24">
        <f>SUM(H263:H267)</f>
        <v>680</v>
      </c>
      <c r="I268" s="71" t="s">
        <v>63</v>
      </c>
      <c r="J268" s="60">
        <v>23.52</v>
      </c>
      <c r="K268" s="59">
        <f>H268*J268</f>
        <v>15993.6</v>
      </c>
    </row>
    <row r="269" spans="1:11" ht="12.75">
      <c r="A269" s="46"/>
      <c r="B269" s="43"/>
      <c r="C269" s="77"/>
      <c r="D269" s="5"/>
      <c r="E269" s="9"/>
      <c r="F269" s="5"/>
      <c r="G269" s="20"/>
      <c r="H269" s="15"/>
      <c r="I269" s="71"/>
      <c r="J269" s="60"/>
      <c r="K269" s="59"/>
    </row>
    <row r="270" spans="1:11" ht="12.75">
      <c r="A270" s="46"/>
      <c r="B270" s="43"/>
      <c r="C270" s="77"/>
      <c r="D270" s="5"/>
      <c r="E270" s="9"/>
      <c r="F270" s="5"/>
      <c r="G270" s="20"/>
      <c r="H270" s="15"/>
      <c r="I270" s="71"/>
      <c r="J270" s="60"/>
      <c r="K270" s="59"/>
    </row>
    <row r="271" spans="1:11" ht="112.5">
      <c r="A271" s="46">
        <v>40</v>
      </c>
      <c r="B271" s="187"/>
      <c r="C271" s="77" t="s">
        <v>163</v>
      </c>
      <c r="D271" s="5"/>
      <c r="E271" s="9"/>
      <c r="F271" s="5"/>
      <c r="G271" s="20"/>
      <c r="H271" s="15"/>
      <c r="I271" s="71"/>
      <c r="J271" s="4"/>
      <c r="K271" s="59"/>
    </row>
    <row r="272" spans="1:11" ht="12.75">
      <c r="A272" s="304"/>
      <c r="B272" s="44"/>
      <c r="C272" s="84" t="s">
        <v>118</v>
      </c>
      <c r="D272" s="6">
        <v>59.2</v>
      </c>
      <c r="E272" s="10"/>
      <c r="F272" s="6">
        <v>2.2</v>
      </c>
      <c r="G272" s="20"/>
      <c r="H272" s="15">
        <f>D272*F272</f>
        <v>130.24</v>
      </c>
      <c r="I272" s="80" t="s">
        <v>24</v>
      </c>
      <c r="J272" s="7"/>
      <c r="K272" s="59"/>
    </row>
    <row r="273" spans="1:11" ht="12.75">
      <c r="A273" s="46"/>
      <c r="B273" s="88"/>
      <c r="C273" s="84" t="s">
        <v>119</v>
      </c>
      <c r="D273" s="5">
        <v>19.1</v>
      </c>
      <c r="E273" s="9"/>
      <c r="F273" s="5">
        <v>2.2</v>
      </c>
      <c r="G273" s="20"/>
      <c r="H273" s="15">
        <f>D273*F273</f>
        <v>42.02</v>
      </c>
      <c r="I273" s="71" t="s">
        <v>24</v>
      </c>
      <c r="J273" s="4"/>
      <c r="K273" s="59"/>
    </row>
    <row r="274" spans="1:11" ht="12.75">
      <c r="A274" s="46"/>
      <c r="B274" s="88"/>
      <c r="C274" s="84" t="s">
        <v>162</v>
      </c>
      <c r="D274" s="5">
        <v>1.2</v>
      </c>
      <c r="E274" s="9"/>
      <c r="F274" s="5">
        <v>2.2</v>
      </c>
      <c r="G274" s="20">
        <v>5</v>
      </c>
      <c r="H274" s="15">
        <f>D274*F274*G274</f>
        <v>13.200000000000001</v>
      </c>
      <c r="I274" s="71" t="s">
        <v>24</v>
      </c>
      <c r="J274" s="4"/>
      <c r="K274" s="59"/>
    </row>
    <row r="275" spans="1:11" ht="12.75">
      <c r="A275" s="46"/>
      <c r="B275" s="88"/>
      <c r="C275" s="84" t="s">
        <v>332</v>
      </c>
      <c r="D275" s="164">
        <v>12.3</v>
      </c>
      <c r="E275" s="9"/>
      <c r="F275" s="5">
        <v>2.2</v>
      </c>
      <c r="G275" s="20"/>
      <c r="H275" s="15">
        <f>D275*F275</f>
        <v>27.060000000000002</v>
      </c>
      <c r="I275" s="71" t="s">
        <v>24</v>
      </c>
      <c r="J275" s="4"/>
      <c r="K275" s="59"/>
    </row>
    <row r="276" spans="1:11" ht="12.75">
      <c r="A276" s="46"/>
      <c r="B276" s="88"/>
      <c r="C276" s="84" t="s">
        <v>333</v>
      </c>
      <c r="D276" s="164">
        <v>43.55</v>
      </c>
      <c r="E276" s="9"/>
      <c r="F276" s="5">
        <v>2.2</v>
      </c>
      <c r="G276" s="20"/>
      <c r="H276" s="15">
        <f>D276*F276</f>
        <v>95.81</v>
      </c>
      <c r="I276" s="71" t="s">
        <v>24</v>
      </c>
      <c r="J276" s="4"/>
      <c r="K276" s="59"/>
    </row>
    <row r="277" spans="1:11" ht="12.75">
      <c r="A277" s="46"/>
      <c r="B277" s="88"/>
      <c r="C277" s="84" t="s">
        <v>334</v>
      </c>
      <c r="D277" s="164">
        <v>59.8</v>
      </c>
      <c r="E277" s="9"/>
      <c r="F277" s="5">
        <v>2.2</v>
      </c>
      <c r="G277" s="20"/>
      <c r="H277" s="15">
        <f>D277*F277</f>
        <v>131.56</v>
      </c>
      <c r="I277" s="71" t="s">
        <v>24</v>
      </c>
      <c r="J277" s="4"/>
      <c r="K277" s="59"/>
    </row>
    <row r="278" spans="1:11" ht="13.5" thickBot="1">
      <c r="A278" s="46"/>
      <c r="B278" s="88"/>
      <c r="C278" s="84" t="s">
        <v>164</v>
      </c>
      <c r="D278" s="164">
        <v>1.2</v>
      </c>
      <c r="E278" s="9"/>
      <c r="F278" s="5">
        <v>2.2</v>
      </c>
      <c r="G278" s="20">
        <v>9</v>
      </c>
      <c r="H278" s="35">
        <f>D278*F278*G278</f>
        <v>23.76</v>
      </c>
      <c r="I278" s="71" t="s">
        <v>24</v>
      </c>
      <c r="J278" s="4"/>
      <c r="K278" s="59"/>
    </row>
    <row r="279" spans="1:11" ht="12.75">
      <c r="A279" s="46"/>
      <c r="B279" s="88"/>
      <c r="C279" s="78"/>
      <c r="D279" s="75"/>
      <c r="E279" s="9"/>
      <c r="F279" s="5"/>
      <c r="G279" s="20"/>
      <c r="H279" s="24">
        <f>SUM(H272:H278)</f>
        <v>463.65000000000003</v>
      </c>
      <c r="I279" s="71" t="s">
        <v>24</v>
      </c>
      <c r="J279" s="60">
        <v>83.89</v>
      </c>
      <c r="K279" s="59">
        <f>H279*J279</f>
        <v>38895.5985</v>
      </c>
    </row>
    <row r="280" spans="1:11" ht="20.25" customHeight="1">
      <c r="A280" s="46"/>
      <c r="B280" s="88"/>
      <c r="C280" s="78"/>
      <c r="D280" s="5"/>
      <c r="E280" s="9"/>
      <c r="F280" s="5"/>
      <c r="G280" s="20"/>
      <c r="H280" s="15"/>
      <c r="I280" s="71"/>
      <c r="J280" s="4"/>
      <c r="K280" s="59"/>
    </row>
    <row r="281" spans="1:11" ht="90">
      <c r="A281" s="46">
        <v>41</v>
      </c>
      <c r="B281" s="43"/>
      <c r="C281" s="77" t="s">
        <v>54</v>
      </c>
      <c r="D281" s="5"/>
      <c r="E281" s="9"/>
      <c r="F281" s="5"/>
      <c r="G281" s="20"/>
      <c r="H281" s="15"/>
      <c r="I281" s="71"/>
      <c r="J281" s="60"/>
      <c r="K281" s="59"/>
    </row>
    <row r="282" spans="1:11" ht="12.75">
      <c r="A282" s="46"/>
      <c r="B282" s="43"/>
      <c r="C282" s="77" t="s">
        <v>335</v>
      </c>
      <c r="D282" s="5"/>
      <c r="E282" s="9"/>
      <c r="F282" s="5"/>
      <c r="G282" s="20">
        <v>5</v>
      </c>
      <c r="H282" s="15">
        <f>G282</f>
        <v>5</v>
      </c>
      <c r="I282" s="71" t="s">
        <v>230</v>
      </c>
      <c r="J282" s="60"/>
      <c r="K282" s="59"/>
    </row>
    <row r="283" spans="1:11" ht="12.75">
      <c r="A283" s="46"/>
      <c r="B283" s="43"/>
      <c r="C283" s="77" t="s">
        <v>338</v>
      </c>
      <c r="D283" s="5"/>
      <c r="E283" s="9"/>
      <c r="F283" s="5"/>
      <c r="G283" s="20">
        <v>2</v>
      </c>
      <c r="H283" s="15">
        <f>G283</f>
        <v>2</v>
      </c>
      <c r="I283" s="71" t="s">
        <v>230</v>
      </c>
      <c r="J283" s="60"/>
      <c r="K283" s="59"/>
    </row>
    <row r="284" spans="1:11" ht="12.75">
      <c r="A284" s="46"/>
      <c r="B284" s="43"/>
      <c r="C284" s="77" t="s">
        <v>337</v>
      </c>
      <c r="D284" s="5"/>
      <c r="E284" s="9"/>
      <c r="F284" s="5"/>
      <c r="G284" s="20">
        <v>1</v>
      </c>
      <c r="H284" s="15">
        <f>G284</f>
        <v>1</v>
      </c>
      <c r="I284" s="71" t="s">
        <v>230</v>
      </c>
      <c r="J284" s="60"/>
      <c r="K284" s="59"/>
    </row>
    <row r="285" spans="1:11" ht="12.75">
      <c r="A285" s="46"/>
      <c r="B285" s="43"/>
      <c r="C285" s="77" t="s">
        <v>336</v>
      </c>
      <c r="D285" s="5"/>
      <c r="E285" s="9"/>
      <c r="F285" s="5"/>
      <c r="G285" s="20">
        <v>4</v>
      </c>
      <c r="H285" s="15">
        <f>G285</f>
        <v>4</v>
      </c>
      <c r="I285" s="71" t="s">
        <v>230</v>
      </c>
      <c r="J285" s="60"/>
      <c r="K285" s="59"/>
    </row>
    <row r="286" spans="1:11" ht="13.5" thickBot="1">
      <c r="A286" s="46"/>
      <c r="B286" s="43"/>
      <c r="C286" s="77" t="s">
        <v>339</v>
      </c>
      <c r="D286" s="5"/>
      <c r="E286" s="9"/>
      <c r="F286" s="5"/>
      <c r="G286" s="20">
        <v>5</v>
      </c>
      <c r="H286" s="35">
        <f>G286</f>
        <v>5</v>
      </c>
      <c r="I286" s="71" t="s">
        <v>230</v>
      </c>
      <c r="J286" s="60"/>
      <c r="K286" s="59"/>
    </row>
    <row r="287" spans="1:11" ht="12.75">
      <c r="A287" s="46"/>
      <c r="B287" s="43"/>
      <c r="C287" s="77"/>
      <c r="D287" s="5"/>
      <c r="E287" s="9"/>
      <c r="F287" s="5"/>
      <c r="G287" s="20"/>
      <c r="H287" s="115">
        <f>SUM(H281:H286)</f>
        <v>17</v>
      </c>
      <c r="I287" s="71" t="s">
        <v>230</v>
      </c>
      <c r="J287" s="60">
        <v>241.82</v>
      </c>
      <c r="K287" s="59">
        <f>H287*J287</f>
        <v>4110.94</v>
      </c>
    </row>
    <row r="288" spans="1:11" ht="12.75">
      <c r="A288" s="46"/>
      <c r="B288" s="43"/>
      <c r="C288" s="77"/>
      <c r="D288" s="5"/>
      <c r="E288" s="9"/>
      <c r="F288" s="5"/>
      <c r="G288" s="20"/>
      <c r="H288" s="15"/>
      <c r="I288" s="71"/>
      <c r="J288" s="60"/>
      <c r="K288" s="59"/>
    </row>
    <row r="289" spans="1:11" ht="22.5">
      <c r="A289" s="46">
        <v>42</v>
      </c>
      <c r="B289" s="43"/>
      <c r="C289" s="77" t="s">
        <v>28</v>
      </c>
      <c r="D289" s="5"/>
      <c r="E289" s="9"/>
      <c r="F289" s="5"/>
      <c r="G289" s="20"/>
      <c r="H289" s="107">
        <f>H287</f>
        <v>17</v>
      </c>
      <c r="I289" s="71" t="s">
        <v>230</v>
      </c>
      <c r="J289" s="60">
        <v>67.62</v>
      </c>
      <c r="K289" s="59">
        <f>H289*J289</f>
        <v>1149.54</v>
      </c>
    </row>
    <row r="290" spans="1:11" ht="12.75">
      <c r="A290" s="46"/>
      <c r="B290" s="43"/>
      <c r="C290" s="77"/>
      <c r="D290" s="5"/>
      <c r="E290" s="9"/>
      <c r="F290" s="5"/>
      <c r="G290" s="20"/>
      <c r="H290" s="15"/>
      <c r="I290" s="71"/>
      <c r="J290" s="60"/>
      <c r="K290" s="59"/>
    </row>
    <row r="291" spans="1:11" ht="12.75">
      <c r="A291" s="46"/>
      <c r="B291" s="43"/>
      <c r="C291" s="77"/>
      <c r="D291" s="5"/>
      <c r="E291" s="9"/>
      <c r="F291" s="5"/>
      <c r="G291" s="20"/>
      <c r="H291" s="107"/>
      <c r="I291" s="71"/>
      <c r="J291" s="99"/>
      <c r="K291" s="59"/>
    </row>
    <row r="292" spans="1:11" ht="12.75">
      <c r="A292" s="46"/>
      <c r="B292" s="43"/>
      <c r="C292" s="77"/>
      <c r="D292" s="5"/>
      <c r="E292" s="9"/>
      <c r="F292" s="5"/>
      <c r="G292" s="20"/>
      <c r="H292" s="15"/>
      <c r="I292" s="71"/>
      <c r="J292" s="60"/>
      <c r="K292" s="59"/>
    </row>
    <row r="293" spans="1:11" ht="29.25" customHeight="1">
      <c r="A293" s="46">
        <v>43</v>
      </c>
      <c r="B293" s="43"/>
      <c r="C293" s="77" t="s">
        <v>228</v>
      </c>
      <c r="D293" s="5"/>
      <c r="E293" s="9"/>
      <c r="F293" s="5"/>
      <c r="G293" s="20"/>
      <c r="H293" s="107">
        <f>H287</f>
        <v>17</v>
      </c>
      <c r="I293" s="71" t="s">
        <v>230</v>
      </c>
      <c r="J293" s="60">
        <v>35.96</v>
      </c>
      <c r="K293" s="59">
        <f>H293*J293</f>
        <v>611.32</v>
      </c>
    </row>
    <row r="294" spans="1:11" ht="12.75">
      <c r="A294" s="46"/>
      <c r="B294" s="43"/>
      <c r="C294" s="77"/>
      <c r="D294" s="5"/>
      <c r="E294" s="9"/>
      <c r="F294" s="5"/>
      <c r="G294" s="20"/>
      <c r="H294" s="24"/>
      <c r="I294" s="71"/>
      <c r="J294" s="60"/>
      <c r="K294" s="59"/>
    </row>
    <row r="295" spans="1:11" ht="12.75">
      <c r="A295" s="46"/>
      <c r="B295" s="43"/>
      <c r="C295" s="77"/>
      <c r="D295" s="5"/>
      <c r="E295" s="9"/>
      <c r="F295" s="5"/>
      <c r="G295" s="20"/>
      <c r="H295" s="15"/>
      <c r="I295" s="71"/>
      <c r="J295" s="60"/>
      <c r="K295" s="59"/>
    </row>
    <row r="296" spans="1:11" ht="101.25">
      <c r="A296" s="46">
        <v>44</v>
      </c>
      <c r="B296" s="43"/>
      <c r="C296" s="77" t="s">
        <v>0</v>
      </c>
      <c r="D296" s="5"/>
      <c r="E296" s="9"/>
      <c r="F296" s="5"/>
      <c r="G296" s="20"/>
      <c r="H296" s="15"/>
      <c r="I296" s="71"/>
      <c r="J296" s="60"/>
      <c r="K296" s="59"/>
    </row>
    <row r="297" spans="1:11" ht="12.75">
      <c r="A297" s="46"/>
      <c r="B297" s="43"/>
      <c r="C297" s="77" t="s">
        <v>335</v>
      </c>
      <c r="D297" s="5"/>
      <c r="E297" s="9"/>
      <c r="F297" s="5"/>
      <c r="G297" s="20">
        <v>4</v>
      </c>
      <c r="H297" s="63">
        <f>G297</f>
        <v>4</v>
      </c>
      <c r="I297" s="71" t="s">
        <v>230</v>
      </c>
      <c r="J297" s="60"/>
      <c r="K297" s="59"/>
    </row>
    <row r="298" spans="1:11" ht="12.75">
      <c r="A298" s="46"/>
      <c r="B298" s="43"/>
      <c r="C298" s="77" t="s">
        <v>338</v>
      </c>
      <c r="D298" s="5"/>
      <c r="E298" s="9"/>
      <c r="F298" s="5"/>
      <c r="G298" s="20">
        <v>2</v>
      </c>
      <c r="H298" s="63">
        <f aca="true" t="shared" si="7" ref="H298:H303">G298</f>
        <v>2</v>
      </c>
      <c r="I298" s="71" t="s">
        <v>230</v>
      </c>
      <c r="J298" s="60"/>
      <c r="K298" s="59"/>
    </row>
    <row r="299" spans="1:11" ht="12.75">
      <c r="A299" s="46"/>
      <c r="B299" s="43"/>
      <c r="C299" s="77" t="s">
        <v>337</v>
      </c>
      <c r="D299" s="5"/>
      <c r="E299" s="9"/>
      <c r="F299" s="5"/>
      <c r="G299" s="20">
        <v>2</v>
      </c>
      <c r="H299" s="63">
        <f t="shared" si="7"/>
        <v>2</v>
      </c>
      <c r="I299" s="71" t="s">
        <v>230</v>
      </c>
      <c r="J299" s="60"/>
      <c r="K299" s="59"/>
    </row>
    <row r="300" spans="1:11" ht="12.75">
      <c r="A300" s="46"/>
      <c r="B300" s="43"/>
      <c r="C300" s="77" t="s">
        <v>336</v>
      </c>
      <c r="D300" s="5"/>
      <c r="E300" s="9"/>
      <c r="F300" s="5"/>
      <c r="G300" s="20">
        <v>4</v>
      </c>
      <c r="H300" s="63">
        <f t="shared" si="7"/>
        <v>4</v>
      </c>
      <c r="I300" s="71" t="s">
        <v>230</v>
      </c>
      <c r="J300" s="60"/>
      <c r="K300" s="59"/>
    </row>
    <row r="301" spans="1:11" ht="12.75">
      <c r="A301" s="46"/>
      <c r="B301" s="43"/>
      <c r="C301" s="77" t="s">
        <v>339</v>
      </c>
      <c r="D301" s="5"/>
      <c r="E301" s="9"/>
      <c r="F301" s="5"/>
      <c r="G301" s="20">
        <v>4</v>
      </c>
      <c r="H301" s="63">
        <f t="shared" si="7"/>
        <v>4</v>
      </c>
      <c r="I301" s="71" t="s">
        <v>230</v>
      </c>
      <c r="J301" s="60"/>
      <c r="K301" s="59"/>
    </row>
    <row r="302" spans="1:11" ht="12.75">
      <c r="A302" s="46"/>
      <c r="B302" s="43"/>
      <c r="C302" s="84" t="s">
        <v>162</v>
      </c>
      <c r="D302" s="5"/>
      <c r="E302" s="9"/>
      <c r="F302" s="5"/>
      <c r="G302" s="20">
        <v>5</v>
      </c>
      <c r="H302" s="63">
        <f t="shared" si="7"/>
        <v>5</v>
      </c>
      <c r="I302" s="71" t="s">
        <v>230</v>
      </c>
      <c r="J302" s="60"/>
      <c r="K302" s="59"/>
    </row>
    <row r="303" spans="1:11" ht="13.5" thickBot="1">
      <c r="A303" s="46"/>
      <c r="B303" s="43"/>
      <c r="C303" s="84" t="s">
        <v>164</v>
      </c>
      <c r="D303" s="5"/>
      <c r="E303" s="9"/>
      <c r="F303" s="5"/>
      <c r="G303" s="20">
        <v>9</v>
      </c>
      <c r="H303" s="35">
        <f t="shared" si="7"/>
        <v>9</v>
      </c>
      <c r="I303" s="71" t="s">
        <v>230</v>
      </c>
      <c r="J303" s="60"/>
      <c r="K303" s="59"/>
    </row>
    <row r="304" spans="1:11" ht="12.75">
      <c r="A304" s="46"/>
      <c r="B304" s="43"/>
      <c r="C304" s="77"/>
      <c r="D304" s="5"/>
      <c r="E304" s="9"/>
      <c r="F304" s="5"/>
      <c r="G304" s="20"/>
      <c r="H304" s="115">
        <f>SUM(H297:H303)</f>
        <v>30</v>
      </c>
      <c r="I304" s="71" t="s">
        <v>230</v>
      </c>
      <c r="J304" s="60">
        <v>364.7</v>
      </c>
      <c r="K304" s="59">
        <f>H304*J304</f>
        <v>10941</v>
      </c>
    </row>
    <row r="305" spans="1:11" ht="12.75">
      <c r="A305" s="46"/>
      <c r="B305" s="43"/>
      <c r="C305" s="77"/>
      <c r="D305" s="5"/>
      <c r="E305" s="9"/>
      <c r="F305" s="5"/>
      <c r="G305" s="20"/>
      <c r="H305" s="15"/>
      <c r="I305" s="71"/>
      <c r="J305" s="60"/>
      <c r="K305" s="59"/>
    </row>
    <row r="306" spans="1:11" ht="22.5">
      <c r="A306" s="46">
        <v>45</v>
      </c>
      <c r="B306" s="43"/>
      <c r="C306" s="77" t="s">
        <v>229</v>
      </c>
      <c r="D306" s="5"/>
      <c r="E306" s="9"/>
      <c r="F306" s="5"/>
      <c r="G306" s="20"/>
      <c r="H306" s="15"/>
      <c r="I306" s="71"/>
      <c r="J306" s="60"/>
      <c r="K306" s="59"/>
    </row>
    <row r="307" spans="1:11" ht="12.75">
      <c r="A307" s="46"/>
      <c r="B307" s="43"/>
      <c r="C307" s="77" t="s">
        <v>335</v>
      </c>
      <c r="D307" s="5"/>
      <c r="E307" s="9"/>
      <c r="F307" s="5"/>
      <c r="G307" s="20">
        <v>4</v>
      </c>
      <c r="H307" s="63">
        <f>G307</f>
        <v>4</v>
      </c>
      <c r="I307" s="71" t="s">
        <v>230</v>
      </c>
      <c r="J307" s="60"/>
      <c r="K307" s="59"/>
    </row>
    <row r="308" spans="1:11" ht="12.75">
      <c r="A308" s="46"/>
      <c r="B308" s="43"/>
      <c r="C308" s="77" t="s">
        <v>338</v>
      </c>
      <c r="D308" s="5"/>
      <c r="E308" s="9"/>
      <c r="F308" s="5"/>
      <c r="G308" s="20">
        <v>2</v>
      </c>
      <c r="H308" s="63">
        <f aca="true" t="shared" si="8" ref="H308:H313">G308</f>
        <v>2</v>
      </c>
      <c r="I308" s="71" t="s">
        <v>230</v>
      </c>
      <c r="J308" s="60"/>
      <c r="K308" s="59"/>
    </row>
    <row r="309" spans="1:11" ht="12.75">
      <c r="A309" s="46"/>
      <c r="B309" s="43"/>
      <c r="C309" s="77" t="s">
        <v>337</v>
      </c>
      <c r="D309" s="5"/>
      <c r="E309" s="9"/>
      <c r="F309" s="5"/>
      <c r="G309" s="20">
        <v>2</v>
      </c>
      <c r="H309" s="63">
        <f t="shared" si="8"/>
        <v>2</v>
      </c>
      <c r="I309" s="71" t="s">
        <v>230</v>
      </c>
      <c r="J309" s="60"/>
      <c r="K309" s="59"/>
    </row>
    <row r="310" spans="1:11" ht="12.75">
      <c r="A310" s="46"/>
      <c r="B310" s="43"/>
      <c r="C310" s="77" t="s">
        <v>336</v>
      </c>
      <c r="D310" s="5"/>
      <c r="E310" s="9"/>
      <c r="F310" s="5"/>
      <c r="G310" s="20">
        <v>4</v>
      </c>
      <c r="H310" s="63">
        <f t="shared" si="8"/>
        <v>4</v>
      </c>
      <c r="I310" s="71" t="s">
        <v>230</v>
      </c>
      <c r="J310" s="60"/>
      <c r="K310" s="59"/>
    </row>
    <row r="311" spans="1:11" ht="12.75">
      <c r="A311" s="46"/>
      <c r="B311" s="43"/>
      <c r="C311" s="77" t="s">
        <v>339</v>
      </c>
      <c r="D311" s="5"/>
      <c r="E311" s="9"/>
      <c r="F311" s="5"/>
      <c r="G311" s="20">
        <v>4</v>
      </c>
      <c r="H311" s="63">
        <f t="shared" si="8"/>
        <v>4</v>
      </c>
      <c r="I311" s="71" t="s">
        <v>230</v>
      </c>
      <c r="J311" s="60"/>
      <c r="K311" s="59"/>
    </row>
    <row r="312" spans="1:11" ht="12.75">
      <c r="A312" s="46"/>
      <c r="B312" s="43"/>
      <c r="C312" s="84" t="s">
        <v>162</v>
      </c>
      <c r="D312" s="5"/>
      <c r="E312" s="9"/>
      <c r="F312" s="5"/>
      <c r="G312" s="20">
        <v>5</v>
      </c>
      <c r="H312" s="63">
        <f t="shared" si="8"/>
        <v>5</v>
      </c>
      <c r="I312" s="71" t="s">
        <v>230</v>
      </c>
      <c r="J312" s="60"/>
      <c r="K312" s="59"/>
    </row>
    <row r="313" spans="1:11" ht="13.5" thickBot="1">
      <c r="A313" s="46"/>
      <c r="B313" s="43"/>
      <c r="C313" s="84" t="s">
        <v>164</v>
      </c>
      <c r="D313" s="5"/>
      <c r="E313" s="9"/>
      <c r="F313" s="5"/>
      <c r="G313" s="20">
        <v>9</v>
      </c>
      <c r="H313" s="35">
        <f t="shared" si="8"/>
        <v>9</v>
      </c>
      <c r="I313" s="71" t="s">
        <v>230</v>
      </c>
      <c r="J313" s="60"/>
      <c r="K313" s="59"/>
    </row>
    <row r="314" spans="1:11" ht="12.75">
      <c r="A314" s="46"/>
      <c r="B314" s="43"/>
      <c r="C314" s="77"/>
      <c r="D314" s="5"/>
      <c r="E314" s="9"/>
      <c r="F314" s="5"/>
      <c r="G314" s="20"/>
      <c r="H314" s="115">
        <f>SUM(H307:H313)</f>
        <v>30</v>
      </c>
      <c r="I314" s="71" t="s">
        <v>230</v>
      </c>
      <c r="J314" s="60">
        <v>81.09</v>
      </c>
      <c r="K314" s="59">
        <f>H314*J314</f>
        <v>2432.7000000000003</v>
      </c>
    </row>
    <row r="315" spans="1:11" ht="12.75">
      <c r="A315" s="46"/>
      <c r="B315" s="43"/>
      <c r="C315" s="77"/>
      <c r="D315" s="5"/>
      <c r="E315" s="9"/>
      <c r="F315" s="5"/>
      <c r="G315" s="20"/>
      <c r="H315" s="15"/>
      <c r="I315" s="71"/>
      <c r="J315" s="60"/>
      <c r="K315" s="59"/>
    </row>
    <row r="316" spans="1:11" ht="202.5">
      <c r="A316" s="46">
        <v>46</v>
      </c>
      <c r="B316" s="43"/>
      <c r="C316" s="77" t="s">
        <v>102</v>
      </c>
      <c r="D316" s="5"/>
      <c r="E316" s="9"/>
      <c r="F316" s="5"/>
      <c r="G316" s="20"/>
      <c r="H316" s="15"/>
      <c r="I316" s="71"/>
      <c r="J316" s="60"/>
      <c r="K316" s="59"/>
    </row>
    <row r="317" spans="1:11" ht="12.75">
      <c r="A317" s="46"/>
      <c r="B317" s="43"/>
      <c r="C317" s="77" t="s">
        <v>117</v>
      </c>
      <c r="D317" s="5"/>
      <c r="E317" s="9"/>
      <c r="F317" s="5"/>
      <c r="G317" s="20">
        <v>11</v>
      </c>
      <c r="H317" s="15">
        <v>11</v>
      </c>
      <c r="I317" s="71" t="s">
        <v>230</v>
      </c>
      <c r="J317" s="60"/>
      <c r="K317" s="59"/>
    </row>
    <row r="318" spans="1:11" ht="13.5" thickBot="1">
      <c r="A318" s="46"/>
      <c r="B318" s="43"/>
      <c r="C318" s="77" t="s">
        <v>253</v>
      </c>
      <c r="D318" s="5"/>
      <c r="E318" s="9"/>
      <c r="F318" s="5"/>
      <c r="G318" s="20">
        <v>19</v>
      </c>
      <c r="H318" s="35">
        <v>19</v>
      </c>
      <c r="I318" s="71" t="s">
        <v>230</v>
      </c>
      <c r="J318" s="60"/>
      <c r="K318" s="59"/>
    </row>
    <row r="319" spans="1:11" ht="12.75">
      <c r="A319" s="46"/>
      <c r="B319" s="43"/>
      <c r="C319" s="77"/>
      <c r="D319" s="5"/>
      <c r="E319" s="9"/>
      <c r="F319" s="5"/>
      <c r="G319" s="20"/>
      <c r="H319" s="24">
        <f>SUM(H317:H318)</f>
        <v>30</v>
      </c>
      <c r="I319" s="71" t="s">
        <v>230</v>
      </c>
      <c r="J319" s="60">
        <v>435</v>
      </c>
      <c r="K319" s="59">
        <f>H319*J319</f>
        <v>13050</v>
      </c>
    </row>
    <row r="320" spans="1:11" ht="12.75">
      <c r="A320" s="46"/>
      <c r="B320" s="43"/>
      <c r="C320" s="77"/>
      <c r="D320" s="5"/>
      <c r="E320" s="9"/>
      <c r="F320" s="5"/>
      <c r="G320" s="20"/>
      <c r="H320" s="24"/>
      <c r="I320" s="71"/>
      <c r="J320" s="60"/>
      <c r="K320" s="59"/>
    </row>
    <row r="321" spans="1:11" ht="56.25">
      <c r="A321" s="46">
        <v>47</v>
      </c>
      <c r="B321" s="43"/>
      <c r="C321" s="77" t="s">
        <v>129</v>
      </c>
      <c r="D321" s="5"/>
      <c r="E321" s="9"/>
      <c r="F321" s="5"/>
      <c r="G321" s="20"/>
      <c r="H321" s="15">
        <v>2</v>
      </c>
      <c r="I321" s="71" t="s">
        <v>230</v>
      </c>
      <c r="J321" s="3">
        <v>643.61</v>
      </c>
      <c r="K321" s="59">
        <f>H321*J321</f>
        <v>1287.22</v>
      </c>
    </row>
    <row r="322" spans="1:11" ht="12.75">
      <c r="A322" s="46"/>
      <c r="B322" s="43"/>
      <c r="C322" s="77"/>
      <c r="D322" s="5"/>
      <c r="E322" s="9"/>
      <c r="F322" s="5"/>
      <c r="G322" s="20"/>
      <c r="H322" s="15"/>
      <c r="I322" s="71"/>
      <c r="J322" s="3"/>
      <c r="K322" s="59"/>
    </row>
    <row r="323" spans="1:11" ht="45">
      <c r="A323" s="46">
        <v>48</v>
      </c>
      <c r="B323" s="43"/>
      <c r="C323" s="77" t="s">
        <v>130</v>
      </c>
      <c r="D323" s="5"/>
      <c r="E323" s="9"/>
      <c r="F323" s="5"/>
      <c r="G323" s="20"/>
      <c r="H323" s="15">
        <v>2</v>
      </c>
      <c r="I323" s="71" t="s">
        <v>230</v>
      </c>
      <c r="J323" s="3">
        <v>659.95</v>
      </c>
      <c r="K323" s="59">
        <f>H323*J323</f>
        <v>1319.9</v>
      </c>
    </row>
    <row r="324" spans="1:11" ht="12.75">
      <c r="A324" s="46"/>
      <c r="B324" s="43"/>
      <c r="C324" s="77"/>
      <c r="D324" s="5"/>
      <c r="E324" s="9"/>
      <c r="F324" s="5"/>
      <c r="G324" s="20"/>
      <c r="H324" s="15"/>
      <c r="I324" s="71"/>
      <c r="J324" s="3"/>
      <c r="K324" s="59"/>
    </row>
    <row r="325" spans="1:11" ht="56.25">
      <c r="A325" s="46">
        <v>49</v>
      </c>
      <c r="B325" s="43"/>
      <c r="C325" s="77" t="s">
        <v>103</v>
      </c>
      <c r="D325" s="5"/>
      <c r="E325" s="9"/>
      <c r="F325" s="5"/>
      <c r="G325" s="20"/>
      <c r="H325" s="15">
        <v>2</v>
      </c>
      <c r="I325" s="71" t="s">
        <v>230</v>
      </c>
      <c r="J325" s="3">
        <v>1000</v>
      </c>
      <c r="K325" s="59">
        <f>H325*J325</f>
        <v>2000</v>
      </c>
    </row>
    <row r="326" spans="1:11" ht="12.75">
      <c r="A326" s="46"/>
      <c r="B326" s="43"/>
      <c r="C326" s="77"/>
      <c r="D326" s="5"/>
      <c r="E326" s="9"/>
      <c r="F326" s="5"/>
      <c r="G326" s="20"/>
      <c r="H326" s="15"/>
      <c r="I326" s="71"/>
      <c r="J326" s="3"/>
      <c r="K326" s="59"/>
    </row>
    <row r="327" spans="1:11" ht="45">
      <c r="A327" s="46">
        <v>50</v>
      </c>
      <c r="B327" s="43"/>
      <c r="C327" s="77" t="s">
        <v>127</v>
      </c>
      <c r="D327" s="5"/>
      <c r="E327" s="9"/>
      <c r="F327" s="5"/>
      <c r="G327" s="20"/>
      <c r="H327" s="107"/>
      <c r="I327" s="71"/>
      <c r="J327" s="3"/>
      <c r="K327" s="59"/>
    </row>
    <row r="328" spans="1:11" ht="12.75">
      <c r="A328" s="46"/>
      <c r="B328" s="43"/>
      <c r="C328" s="77" t="s">
        <v>115</v>
      </c>
      <c r="D328" s="5"/>
      <c r="E328" s="9">
        <v>1</v>
      </c>
      <c r="F328" s="5">
        <v>2.3</v>
      </c>
      <c r="G328" s="20">
        <v>30</v>
      </c>
      <c r="H328" s="107">
        <f>((2*F328)+1)*G328</f>
        <v>168</v>
      </c>
      <c r="I328" s="71" t="s">
        <v>25</v>
      </c>
      <c r="J328" s="3"/>
      <c r="K328" s="59"/>
    </row>
    <row r="329" spans="1:11" ht="13.5" thickBot="1">
      <c r="A329" s="46"/>
      <c r="B329" s="43"/>
      <c r="C329" s="77" t="s">
        <v>253</v>
      </c>
      <c r="D329" s="5"/>
      <c r="E329" s="9">
        <v>1</v>
      </c>
      <c r="F329" s="5">
        <v>2.3</v>
      </c>
      <c r="G329" s="20">
        <v>42</v>
      </c>
      <c r="H329" s="108">
        <f>((2*F329)+1)*G329</f>
        <v>235.2</v>
      </c>
      <c r="I329" s="71" t="s">
        <v>25</v>
      </c>
      <c r="J329" s="3"/>
      <c r="K329" s="59"/>
    </row>
    <row r="330" spans="1:11" ht="12.75">
      <c r="A330" s="46"/>
      <c r="B330" s="43"/>
      <c r="C330" s="77"/>
      <c r="D330" s="5"/>
      <c r="E330" s="9"/>
      <c r="F330" s="5"/>
      <c r="G330" s="20"/>
      <c r="H330" s="115">
        <f>SUM(H328:H329)</f>
        <v>403.2</v>
      </c>
      <c r="I330" s="71" t="s">
        <v>25</v>
      </c>
      <c r="J330" s="3">
        <v>6.55</v>
      </c>
      <c r="K330" s="59">
        <f>H330*J330</f>
        <v>2640.96</v>
      </c>
    </row>
    <row r="331" spans="1:11" ht="12.75">
      <c r="A331" s="46"/>
      <c r="B331" s="43"/>
      <c r="C331" s="77"/>
      <c r="D331" s="5"/>
      <c r="E331" s="9"/>
      <c r="F331" s="5"/>
      <c r="G331" s="20"/>
      <c r="H331" s="107"/>
      <c r="I331" s="71"/>
      <c r="J331" s="3"/>
      <c r="K331" s="59"/>
    </row>
    <row r="332" spans="1:11" ht="12.75">
      <c r="A332" s="46"/>
      <c r="B332" s="43"/>
      <c r="C332" s="77"/>
      <c r="D332" s="5"/>
      <c r="E332" s="9"/>
      <c r="F332" s="5"/>
      <c r="G332" s="20"/>
      <c r="H332" s="15"/>
      <c r="I332" s="71"/>
      <c r="J332" s="3"/>
      <c r="K332" s="59"/>
    </row>
    <row r="333" spans="1:11" ht="146.25">
      <c r="A333" s="46">
        <v>51</v>
      </c>
      <c r="B333" s="43"/>
      <c r="C333" s="77" t="s">
        <v>71</v>
      </c>
      <c r="D333" s="5"/>
      <c r="E333" s="9"/>
      <c r="F333" s="5"/>
      <c r="G333" s="20"/>
      <c r="H333" s="15"/>
      <c r="I333" s="71"/>
      <c r="J333" s="3"/>
      <c r="K333" s="59"/>
    </row>
    <row r="334" spans="1:11" ht="12.75">
      <c r="A334" s="46"/>
      <c r="B334" s="43"/>
      <c r="C334" s="77" t="s">
        <v>115</v>
      </c>
      <c r="D334" s="5"/>
      <c r="E334" s="9"/>
      <c r="F334" s="5"/>
      <c r="G334" s="20"/>
      <c r="H334" s="15">
        <v>29</v>
      </c>
      <c r="I334" s="71" t="s">
        <v>230</v>
      </c>
      <c r="J334" s="3"/>
      <c r="K334" s="59"/>
    </row>
    <row r="335" spans="1:11" ht="13.5" thickBot="1">
      <c r="A335" s="46"/>
      <c r="B335" s="43"/>
      <c r="C335" s="77" t="s">
        <v>253</v>
      </c>
      <c r="D335" s="5"/>
      <c r="E335" s="9"/>
      <c r="F335" s="5"/>
      <c r="G335" s="20"/>
      <c r="H335" s="35">
        <v>38</v>
      </c>
      <c r="I335" s="71" t="s">
        <v>230</v>
      </c>
      <c r="J335" s="3"/>
      <c r="K335" s="59"/>
    </row>
    <row r="336" spans="1:11" ht="12.75">
      <c r="A336" s="46"/>
      <c r="B336" s="43"/>
      <c r="C336" s="77"/>
      <c r="D336" s="5"/>
      <c r="E336" s="9"/>
      <c r="F336" s="5"/>
      <c r="G336" s="20"/>
      <c r="H336" s="115">
        <f>SUM(H334:H335)</f>
        <v>67</v>
      </c>
      <c r="I336" s="71" t="s">
        <v>230</v>
      </c>
      <c r="J336" s="3">
        <v>321.71</v>
      </c>
      <c r="K336" s="59">
        <f>H336*J336</f>
        <v>21554.57</v>
      </c>
    </row>
    <row r="337" spans="1:11" ht="12.75">
      <c r="A337" s="46"/>
      <c r="B337" s="43"/>
      <c r="C337" s="77"/>
      <c r="D337" s="5"/>
      <c r="E337" s="9"/>
      <c r="F337" s="5"/>
      <c r="G337" s="20"/>
      <c r="H337" s="24"/>
      <c r="I337" s="71"/>
      <c r="J337" s="3"/>
      <c r="K337" s="59"/>
    </row>
    <row r="338" spans="1:11" ht="123.75">
      <c r="A338" s="46">
        <v>52</v>
      </c>
      <c r="B338" s="43"/>
      <c r="C338" s="77" t="s">
        <v>133</v>
      </c>
      <c r="D338" s="5"/>
      <c r="E338" s="9"/>
      <c r="F338" s="5"/>
      <c r="G338" s="20"/>
      <c r="H338" s="15"/>
      <c r="I338" s="71"/>
      <c r="J338" s="3"/>
      <c r="K338" s="59"/>
    </row>
    <row r="339" spans="1:11" ht="12.75">
      <c r="A339" s="305"/>
      <c r="B339" s="43"/>
      <c r="C339" s="77" t="s">
        <v>115</v>
      </c>
      <c r="D339" s="5"/>
      <c r="E339" s="9"/>
      <c r="F339" s="5"/>
      <c r="G339" s="20"/>
      <c r="H339" s="15">
        <v>1</v>
      </c>
      <c r="I339" s="71" t="s">
        <v>230</v>
      </c>
      <c r="J339" s="3"/>
      <c r="K339" s="59"/>
    </row>
    <row r="340" spans="1:11" ht="13.5" thickBot="1">
      <c r="A340" s="305"/>
      <c r="B340" s="43"/>
      <c r="C340" s="77" t="s">
        <v>253</v>
      </c>
      <c r="D340" s="5"/>
      <c r="E340" s="9"/>
      <c r="F340" s="5"/>
      <c r="G340" s="20"/>
      <c r="H340" s="35">
        <v>2</v>
      </c>
      <c r="I340" s="71" t="s">
        <v>230</v>
      </c>
      <c r="J340" s="3"/>
      <c r="K340" s="59"/>
    </row>
    <row r="341" spans="1:11" ht="12.75">
      <c r="A341" s="305"/>
      <c r="B341" s="43"/>
      <c r="C341" s="77"/>
      <c r="D341" s="5"/>
      <c r="E341" s="9"/>
      <c r="F341" s="5"/>
      <c r="G341" s="20"/>
      <c r="H341" s="24">
        <f>SUM(H339:H340)</f>
        <v>3</v>
      </c>
      <c r="I341" s="71" t="s">
        <v>230</v>
      </c>
      <c r="J341" s="9">
        <v>730</v>
      </c>
      <c r="K341" s="59">
        <f>H341*J341</f>
        <v>2190</v>
      </c>
    </row>
    <row r="342" spans="1:11" ht="12.75">
      <c r="A342" s="46"/>
      <c r="B342" s="43"/>
      <c r="C342" s="77"/>
      <c r="D342" s="5"/>
      <c r="E342" s="9"/>
      <c r="F342" s="5"/>
      <c r="G342" s="20"/>
      <c r="H342" s="15"/>
      <c r="I342" s="71"/>
      <c r="J342" s="3"/>
      <c r="K342" s="59"/>
    </row>
    <row r="343" spans="1:11" ht="135">
      <c r="A343" s="46">
        <v>53</v>
      </c>
      <c r="B343" s="43"/>
      <c r="C343" s="77" t="s">
        <v>128</v>
      </c>
      <c r="D343" s="5"/>
      <c r="E343" s="9"/>
      <c r="F343" s="5"/>
      <c r="G343" s="20"/>
      <c r="H343" s="15">
        <v>1</v>
      </c>
      <c r="I343" s="71" t="s">
        <v>230</v>
      </c>
      <c r="J343" s="3">
        <v>1300</v>
      </c>
      <c r="K343" s="59">
        <f>H343*J343</f>
        <v>1300</v>
      </c>
    </row>
    <row r="344" spans="1:11" ht="12.75">
      <c r="A344" s="46"/>
      <c r="B344" s="43"/>
      <c r="C344" s="77"/>
      <c r="D344" s="5"/>
      <c r="E344" s="9"/>
      <c r="F344" s="5"/>
      <c r="G344" s="20"/>
      <c r="H344" s="15"/>
      <c r="I344" s="71"/>
      <c r="J344" s="3"/>
      <c r="K344" s="59"/>
    </row>
    <row r="345" spans="1:11" ht="135">
      <c r="A345" s="46">
        <v>54</v>
      </c>
      <c r="B345" s="43"/>
      <c r="C345" s="77" t="s">
        <v>131</v>
      </c>
      <c r="D345" s="5"/>
      <c r="E345" s="9"/>
      <c r="F345" s="5"/>
      <c r="G345" s="20"/>
      <c r="H345" s="15">
        <v>2</v>
      </c>
      <c r="I345" s="71" t="s">
        <v>230</v>
      </c>
      <c r="J345" s="3">
        <v>2000</v>
      </c>
      <c r="K345" s="59">
        <f>H345*J345</f>
        <v>4000</v>
      </c>
    </row>
    <row r="346" spans="1:11" ht="12.75">
      <c r="A346" s="46"/>
      <c r="B346" s="43"/>
      <c r="C346" s="77"/>
      <c r="D346" s="5"/>
      <c r="E346" s="9"/>
      <c r="F346" s="5"/>
      <c r="G346" s="20"/>
      <c r="H346" s="15"/>
      <c r="I346" s="71"/>
      <c r="J346" s="3"/>
      <c r="K346" s="59"/>
    </row>
    <row r="347" spans="1:11" ht="12.75">
      <c r="A347" s="46"/>
      <c r="B347" s="43"/>
      <c r="C347" s="77"/>
      <c r="D347" s="5"/>
      <c r="E347" s="9"/>
      <c r="F347" s="5"/>
      <c r="G347" s="20"/>
      <c r="H347" s="15"/>
      <c r="I347" s="71"/>
      <c r="J347" s="3"/>
      <c r="K347" s="59"/>
    </row>
    <row r="348" spans="1:11" ht="67.5">
      <c r="A348" s="46">
        <v>55</v>
      </c>
      <c r="B348" s="43"/>
      <c r="C348" s="77" t="s">
        <v>132</v>
      </c>
      <c r="D348" s="5"/>
      <c r="E348" s="9"/>
      <c r="F348" s="5"/>
      <c r="G348" s="20"/>
      <c r="H348" s="15"/>
      <c r="I348" s="71"/>
      <c r="J348" s="3"/>
      <c r="K348" s="59"/>
    </row>
    <row r="349" spans="1:11" ht="12.75">
      <c r="A349" s="46"/>
      <c r="B349" s="43"/>
      <c r="C349" s="77" t="s">
        <v>115</v>
      </c>
      <c r="D349" s="5"/>
      <c r="E349" s="9"/>
      <c r="F349" s="5"/>
      <c r="G349" s="20"/>
      <c r="H349" s="15">
        <v>2</v>
      </c>
      <c r="I349" s="71" t="s">
        <v>230</v>
      </c>
      <c r="J349" s="3"/>
      <c r="K349" s="59"/>
    </row>
    <row r="350" spans="1:11" ht="13.5" thickBot="1">
      <c r="A350" s="46"/>
      <c r="B350" s="43"/>
      <c r="C350" s="77" t="s">
        <v>253</v>
      </c>
      <c r="D350" s="5"/>
      <c r="E350" s="9"/>
      <c r="F350" s="5"/>
      <c r="G350" s="20"/>
      <c r="H350" s="35">
        <v>2</v>
      </c>
      <c r="I350" s="71" t="s">
        <v>230</v>
      </c>
      <c r="J350" s="3"/>
      <c r="K350" s="59"/>
    </row>
    <row r="351" spans="1:11" ht="12.75">
      <c r="A351" s="46"/>
      <c r="B351" s="43"/>
      <c r="C351" s="77"/>
      <c r="D351" s="5"/>
      <c r="E351" s="9"/>
      <c r="F351" s="5"/>
      <c r="G351" s="20"/>
      <c r="H351" s="115">
        <f>SUM(H349:H350)</f>
        <v>4</v>
      </c>
      <c r="I351" s="71" t="s">
        <v>230</v>
      </c>
      <c r="J351" s="3">
        <v>2100</v>
      </c>
      <c r="K351" s="59">
        <f>H351*J351</f>
        <v>8400</v>
      </c>
    </row>
    <row r="352" spans="1:11" ht="12.75">
      <c r="A352" s="46"/>
      <c r="B352" s="43"/>
      <c r="C352" s="77"/>
      <c r="D352" s="5"/>
      <c r="E352" s="9"/>
      <c r="F352" s="5"/>
      <c r="G352" s="20"/>
      <c r="H352" s="15"/>
      <c r="I352" s="71"/>
      <c r="J352" s="3"/>
      <c r="K352" s="59"/>
    </row>
    <row r="353" spans="1:11" ht="12.75">
      <c r="A353" s="46"/>
      <c r="B353" s="43"/>
      <c r="C353" s="77"/>
      <c r="D353" s="5"/>
      <c r="E353" s="9"/>
      <c r="F353" s="5"/>
      <c r="G353" s="20"/>
      <c r="H353" s="15"/>
      <c r="I353" s="71"/>
      <c r="J353" s="3"/>
      <c r="K353" s="59"/>
    </row>
    <row r="354" spans="1:11" ht="78.75">
      <c r="A354" s="46">
        <v>56</v>
      </c>
      <c r="B354" s="43"/>
      <c r="C354" s="77" t="s">
        <v>135</v>
      </c>
      <c r="D354" s="5"/>
      <c r="E354" s="9"/>
      <c r="F354" s="5"/>
      <c r="G354" s="20"/>
      <c r="H354" s="15"/>
      <c r="I354" s="71"/>
      <c r="J354" s="3"/>
      <c r="K354" s="59"/>
    </row>
    <row r="355" spans="1:11" ht="12.75">
      <c r="A355" s="46"/>
      <c r="B355" s="43"/>
      <c r="C355" s="77" t="s">
        <v>115</v>
      </c>
      <c r="D355" s="5"/>
      <c r="E355" s="9"/>
      <c r="F355" s="5"/>
      <c r="G355" s="20"/>
      <c r="H355" s="15">
        <v>1</v>
      </c>
      <c r="I355" s="71" t="s">
        <v>230</v>
      </c>
      <c r="J355" s="3">
        <v>2300</v>
      </c>
      <c r="K355" s="59">
        <f>H355*J355</f>
        <v>2300</v>
      </c>
    </row>
    <row r="356" spans="1:11" ht="12.75">
      <c r="A356" s="46"/>
      <c r="B356" s="43"/>
      <c r="C356" s="77"/>
      <c r="D356" s="5"/>
      <c r="E356" s="9"/>
      <c r="F356" s="5"/>
      <c r="G356" s="20"/>
      <c r="H356" s="15"/>
      <c r="I356" s="71"/>
      <c r="J356" s="3"/>
      <c r="K356" s="59"/>
    </row>
    <row r="357" spans="1:11" ht="12.75">
      <c r="A357" s="46"/>
      <c r="B357" s="43"/>
      <c r="C357" s="77"/>
      <c r="D357" s="5"/>
      <c r="E357" s="9"/>
      <c r="F357" s="5"/>
      <c r="G357" s="20"/>
      <c r="H357" s="15"/>
      <c r="I357" s="71"/>
      <c r="J357" s="3"/>
      <c r="K357" s="59"/>
    </row>
    <row r="358" spans="1:11" ht="12.75">
      <c r="A358" s="46"/>
      <c r="B358" s="43"/>
      <c r="C358" s="77"/>
      <c r="D358" s="5"/>
      <c r="E358" s="9"/>
      <c r="F358" s="5"/>
      <c r="G358" s="20"/>
      <c r="H358" s="15"/>
      <c r="I358" s="71"/>
      <c r="J358" s="3"/>
      <c r="K358" s="59"/>
    </row>
    <row r="359" spans="1:11" ht="12.75">
      <c r="A359" s="46"/>
      <c r="B359" s="43"/>
      <c r="C359" s="78"/>
      <c r="D359" s="5"/>
      <c r="E359" s="9"/>
      <c r="F359" s="5"/>
      <c r="G359" s="20"/>
      <c r="H359" s="15"/>
      <c r="I359" s="71"/>
      <c r="J359" s="3"/>
      <c r="K359" s="59"/>
    </row>
    <row r="360" spans="1:11" ht="33.75">
      <c r="A360" s="46">
        <v>57</v>
      </c>
      <c r="B360" s="43"/>
      <c r="C360" s="82" t="s">
        <v>304</v>
      </c>
      <c r="D360" s="5"/>
      <c r="E360" s="9"/>
      <c r="F360" s="5"/>
      <c r="G360" s="20"/>
      <c r="H360" s="15"/>
      <c r="I360" s="71"/>
      <c r="J360" s="3"/>
      <c r="K360" s="59"/>
    </row>
    <row r="361" spans="1:11" ht="12.75">
      <c r="A361" s="46"/>
      <c r="B361" s="43"/>
      <c r="C361" s="77" t="s">
        <v>115</v>
      </c>
      <c r="D361" s="5"/>
      <c r="E361" s="9"/>
      <c r="F361" s="5"/>
      <c r="G361" s="20"/>
      <c r="H361" s="15">
        <v>2</v>
      </c>
      <c r="I361" s="71" t="s">
        <v>230</v>
      </c>
      <c r="J361" s="3"/>
      <c r="K361" s="59"/>
    </row>
    <row r="362" spans="1:11" ht="13.5" thickBot="1">
      <c r="A362" s="46"/>
      <c r="B362" s="43"/>
      <c r="C362" s="77" t="s">
        <v>253</v>
      </c>
      <c r="D362" s="5"/>
      <c r="E362" s="9"/>
      <c r="F362" s="5"/>
      <c r="G362" s="20"/>
      <c r="H362" s="35">
        <v>2</v>
      </c>
      <c r="I362" s="71" t="s">
        <v>230</v>
      </c>
      <c r="J362" s="3"/>
      <c r="K362" s="59"/>
    </row>
    <row r="363" spans="1:11" ht="12.75">
      <c r="A363" s="46"/>
      <c r="B363" s="43"/>
      <c r="C363" s="82"/>
      <c r="D363" s="5"/>
      <c r="E363" s="9"/>
      <c r="F363" s="5"/>
      <c r="G363" s="20"/>
      <c r="H363" s="24">
        <f>SUM(H361:H362)</f>
        <v>4</v>
      </c>
      <c r="I363" s="71" t="s">
        <v>230</v>
      </c>
      <c r="J363" s="3">
        <v>190.7</v>
      </c>
      <c r="K363" s="59">
        <f>H363*J363</f>
        <v>762.8</v>
      </c>
    </row>
    <row r="364" spans="1:11" ht="12.75">
      <c r="A364" s="46"/>
      <c r="B364" s="43"/>
      <c r="C364" s="78"/>
      <c r="D364" s="5"/>
      <c r="E364" s="9"/>
      <c r="F364" s="5"/>
      <c r="G364" s="20"/>
      <c r="H364" s="15"/>
      <c r="I364" s="71"/>
      <c r="J364" s="3"/>
      <c r="K364" s="59"/>
    </row>
    <row r="365" spans="1:11" ht="33.75">
      <c r="A365" s="46">
        <v>58</v>
      </c>
      <c r="B365" s="43"/>
      <c r="C365" s="82" t="s">
        <v>305</v>
      </c>
      <c r="D365" s="5"/>
      <c r="E365" s="9"/>
      <c r="F365" s="5"/>
      <c r="G365" s="20"/>
      <c r="H365" s="15"/>
      <c r="I365" s="71"/>
      <c r="J365" s="3"/>
      <c r="K365" s="59"/>
    </row>
    <row r="366" spans="1:11" ht="12.75">
      <c r="A366" s="46"/>
      <c r="B366" s="43"/>
      <c r="C366" s="77" t="s">
        <v>134</v>
      </c>
      <c r="D366" s="5"/>
      <c r="E366" s="9"/>
      <c r="F366" s="5"/>
      <c r="G366" s="20"/>
      <c r="H366" s="15">
        <v>1</v>
      </c>
      <c r="I366" s="71" t="s">
        <v>230</v>
      </c>
      <c r="J366" s="3"/>
      <c r="K366" s="59"/>
    </row>
    <row r="367" spans="1:11" ht="12.75">
      <c r="A367" s="46"/>
      <c r="B367" s="43"/>
      <c r="C367" s="77" t="s">
        <v>115</v>
      </c>
      <c r="D367" s="5"/>
      <c r="E367" s="9"/>
      <c r="F367" s="5"/>
      <c r="G367" s="20"/>
      <c r="H367" s="15">
        <v>2</v>
      </c>
      <c r="I367" s="71" t="s">
        <v>230</v>
      </c>
      <c r="J367" s="3"/>
      <c r="K367" s="59"/>
    </row>
    <row r="368" spans="1:11" ht="13.5" thickBot="1">
      <c r="A368" s="46"/>
      <c r="B368" s="43"/>
      <c r="C368" s="77" t="s">
        <v>253</v>
      </c>
      <c r="D368" s="5"/>
      <c r="E368" s="9"/>
      <c r="F368" s="5"/>
      <c r="G368" s="20"/>
      <c r="H368" s="35">
        <v>2</v>
      </c>
      <c r="I368" s="71" t="s">
        <v>230</v>
      </c>
      <c r="J368" s="3"/>
      <c r="K368" s="59"/>
    </row>
    <row r="369" spans="1:11" ht="12.75">
      <c r="A369" s="46"/>
      <c r="B369" s="43"/>
      <c r="C369" s="82"/>
      <c r="D369" s="5"/>
      <c r="E369" s="9"/>
      <c r="F369" s="5"/>
      <c r="G369" s="20"/>
      <c r="H369" s="24">
        <f>SUM(H366:H368)</f>
        <v>5</v>
      </c>
      <c r="I369" s="71" t="s">
        <v>230</v>
      </c>
      <c r="J369" s="3">
        <v>449.5</v>
      </c>
      <c r="K369" s="59">
        <f>H369*J369</f>
        <v>2247.5</v>
      </c>
    </row>
    <row r="370" spans="1:12" ht="12.75">
      <c r="A370" s="46"/>
      <c r="B370" s="43"/>
      <c r="C370" s="78"/>
      <c r="D370" s="5"/>
      <c r="E370" s="9"/>
      <c r="F370" s="5"/>
      <c r="G370" s="20"/>
      <c r="H370" s="15"/>
      <c r="I370" s="71"/>
      <c r="J370" s="3"/>
      <c r="K370" s="59"/>
      <c r="L370" s="8"/>
    </row>
    <row r="371" spans="1:12" ht="78.75">
      <c r="A371" s="46">
        <v>59</v>
      </c>
      <c r="B371" s="43"/>
      <c r="C371" s="77" t="s">
        <v>20</v>
      </c>
      <c r="D371" s="5"/>
      <c r="E371" s="9"/>
      <c r="F371" s="5"/>
      <c r="G371" s="20"/>
      <c r="H371" s="24"/>
      <c r="I371" s="71"/>
      <c r="J371" s="60"/>
      <c r="K371" s="59"/>
      <c r="L371" s="94"/>
    </row>
    <row r="372" spans="1:11" ht="12.75">
      <c r="A372" s="46"/>
      <c r="B372" s="43"/>
      <c r="C372" s="77" t="s">
        <v>117</v>
      </c>
      <c r="D372" s="166">
        <f>13.57+12.26+24.62+11.36+8.41</f>
        <v>70.22</v>
      </c>
      <c r="E372" s="9"/>
      <c r="F372" s="5">
        <v>3.65</v>
      </c>
      <c r="G372" s="20"/>
      <c r="H372" s="24">
        <f>D372*F372</f>
        <v>256.303</v>
      </c>
      <c r="I372" s="71" t="s">
        <v>24</v>
      </c>
      <c r="J372" s="60"/>
      <c r="K372" s="59"/>
    </row>
    <row r="373" spans="1:11" ht="13.5" thickBot="1">
      <c r="A373" s="46"/>
      <c r="B373" s="43"/>
      <c r="C373" s="77" t="s">
        <v>253</v>
      </c>
      <c r="D373" s="166">
        <f>13.57+13.6+29.43+13.6+12.27</f>
        <v>82.47</v>
      </c>
      <c r="E373" s="9"/>
      <c r="F373" s="5">
        <v>3.65</v>
      </c>
      <c r="G373" s="20"/>
      <c r="H373" s="35">
        <f>D373*F373</f>
        <v>301.0155</v>
      </c>
      <c r="I373" s="71" t="s">
        <v>24</v>
      </c>
      <c r="J373" s="60"/>
      <c r="K373" s="59"/>
    </row>
    <row r="374" spans="1:11" ht="12.75">
      <c r="A374" s="46"/>
      <c r="B374" s="43"/>
      <c r="C374" s="77"/>
      <c r="D374" s="5"/>
      <c r="E374" s="9"/>
      <c r="F374" s="5"/>
      <c r="G374" s="20"/>
      <c r="H374" s="115">
        <f>SUM(H372:H373)</f>
        <v>557.3185</v>
      </c>
      <c r="I374" s="71" t="s">
        <v>24</v>
      </c>
      <c r="J374" s="60">
        <v>14.5</v>
      </c>
      <c r="K374" s="59">
        <f>H374*J374</f>
        <v>8081.1182499999995</v>
      </c>
    </row>
    <row r="375" spans="1:11" ht="12.75">
      <c r="A375" s="46"/>
      <c r="B375" s="43"/>
      <c r="C375" s="77"/>
      <c r="D375" s="5"/>
      <c r="E375" s="9"/>
      <c r="F375" s="5"/>
      <c r="G375" s="20"/>
      <c r="H375" s="24"/>
      <c r="I375" s="71"/>
      <c r="J375" s="60"/>
      <c r="K375" s="59"/>
    </row>
    <row r="376" spans="1:11" ht="123.75">
      <c r="A376" s="46">
        <v>60</v>
      </c>
      <c r="B376" s="43"/>
      <c r="C376" s="77" t="s">
        <v>137</v>
      </c>
      <c r="D376" s="5"/>
      <c r="E376" s="9"/>
      <c r="F376" s="5"/>
      <c r="G376" s="20"/>
      <c r="H376" s="15"/>
      <c r="I376" s="71"/>
      <c r="J376" s="3"/>
      <c r="K376" s="59"/>
    </row>
    <row r="377" spans="1:11" ht="12.75">
      <c r="A377" s="46"/>
      <c r="B377" s="43"/>
      <c r="C377" s="77" t="s">
        <v>113</v>
      </c>
      <c r="D377" s="5">
        <f>139.58+48</f>
        <v>187.58</v>
      </c>
      <c r="E377" s="9"/>
      <c r="F377" s="5"/>
      <c r="G377" s="20">
        <v>1.25</v>
      </c>
      <c r="H377" s="63">
        <f>D377*G377</f>
        <v>234.47500000000002</v>
      </c>
      <c r="I377" s="71" t="s">
        <v>243</v>
      </c>
      <c r="J377" s="3"/>
      <c r="K377" s="59"/>
    </row>
    <row r="378" spans="1:11" ht="12.75">
      <c r="A378" s="46"/>
      <c r="B378" s="43"/>
      <c r="C378" s="77" t="s">
        <v>114</v>
      </c>
      <c r="D378" s="5">
        <f>(59.84+26.82)</f>
        <v>86.66</v>
      </c>
      <c r="E378" s="9"/>
      <c r="F378" s="5"/>
      <c r="G378" s="20">
        <v>1.25</v>
      </c>
      <c r="H378" s="63">
        <f>D378*G378</f>
        <v>108.32499999999999</v>
      </c>
      <c r="I378" s="71" t="s">
        <v>243</v>
      </c>
      <c r="J378" s="3"/>
      <c r="K378" s="59"/>
    </row>
    <row r="379" spans="1:11" ht="12.75">
      <c r="A379" s="46"/>
      <c r="B379" s="43"/>
      <c r="C379" s="78" t="s">
        <v>22</v>
      </c>
      <c r="D379" s="5">
        <v>3.3</v>
      </c>
      <c r="E379" s="9"/>
      <c r="F379" s="5">
        <v>0.6</v>
      </c>
      <c r="G379" s="20">
        <v>11</v>
      </c>
      <c r="H379" s="15">
        <f>D379*F379*G379</f>
        <v>21.779999999999998</v>
      </c>
      <c r="I379" s="71" t="s">
        <v>243</v>
      </c>
      <c r="J379" s="3"/>
      <c r="K379" s="59"/>
    </row>
    <row r="380" spans="1:11" ht="13.5" thickBot="1">
      <c r="A380" s="46"/>
      <c r="B380" s="43"/>
      <c r="C380" s="78" t="s">
        <v>21</v>
      </c>
      <c r="D380" s="5">
        <v>3.3</v>
      </c>
      <c r="E380" s="9"/>
      <c r="F380" s="5">
        <v>0.6</v>
      </c>
      <c r="G380" s="20">
        <v>12</v>
      </c>
      <c r="H380" s="61">
        <f>D380*F380*G380</f>
        <v>23.759999999999998</v>
      </c>
      <c r="I380" s="71" t="s">
        <v>243</v>
      </c>
      <c r="J380" s="3"/>
      <c r="K380" s="59"/>
    </row>
    <row r="381" spans="1:11" ht="12.75">
      <c r="A381" s="46"/>
      <c r="B381" s="43"/>
      <c r="C381" s="77"/>
      <c r="D381" s="5"/>
      <c r="E381" s="9"/>
      <c r="F381" s="5"/>
      <c r="G381" s="20"/>
      <c r="H381" s="24">
        <f>SUM(H377:H380)</f>
        <v>388.34</v>
      </c>
      <c r="I381" s="71" t="s">
        <v>243</v>
      </c>
      <c r="J381" s="9">
        <v>29.93</v>
      </c>
      <c r="K381" s="59">
        <f>H381*J381</f>
        <v>11623.0162</v>
      </c>
    </row>
    <row r="382" spans="1:11" ht="12.75">
      <c r="A382" s="46"/>
      <c r="B382" s="43"/>
      <c r="C382" s="77"/>
      <c r="D382" s="5"/>
      <c r="E382" s="9"/>
      <c r="F382" s="5"/>
      <c r="G382" s="20"/>
      <c r="H382" s="15"/>
      <c r="I382" s="71"/>
      <c r="J382" s="3"/>
      <c r="K382" s="59"/>
    </row>
    <row r="383" spans="1:11" ht="48" customHeight="1">
      <c r="A383" s="46">
        <v>61</v>
      </c>
      <c r="B383" s="43"/>
      <c r="C383" s="77" t="s">
        <v>231</v>
      </c>
      <c r="D383" s="5"/>
      <c r="E383" s="9"/>
      <c r="F383" s="5"/>
      <c r="G383" s="20"/>
      <c r="H383" s="15"/>
      <c r="I383" s="71" t="s">
        <v>243</v>
      </c>
      <c r="J383" s="3"/>
      <c r="K383" s="59"/>
    </row>
    <row r="384" spans="1:11" ht="12.75">
      <c r="A384" s="46"/>
      <c r="B384" s="43"/>
      <c r="C384" s="77" t="s">
        <v>113</v>
      </c>
      <c r="D384" s="5">
        <f>283.19+12.54</f>
        <v>295.73</v>
      </c>
      <c r="E384" s="9"/>
      <c r="F384" s="5"/>
      <c r="G384" s="20">
        <v>1.25</v>
      </c>
      <c r="H384" s="167">
        <f>D384*G384</f>
        <v>369.6625</v>
      </c>
      <c r="I384" s="71" t="s">
        <v>243</v>
      </c>
      <c r="J384" s="3"/>
      <c r="K384" s="59"/>
    </row>
    <row r="385" spans="1:11" ht="13.5" thickBot="1">
      <c r="A385" s="46"/>
      <c r="B385" s="43"/>
      <c r="C385" s="77" t="s">
        <v>114</v>
      </c>
      <c r="D385" s="5"/>
      <c r="E385" s="9"/>
      <c r="F385" s="5"/>
      <c r="G385" s="20">
        <v>1.25</v>
      </c>
      <c r="H385" s="108">
        <f>297.09+165.65</f>
        <v>462.74</v>
      </c>
      <c r="I385" s="71" t="s">
        <v>243</v>
      </c>
      <c r="J385" s="3"/>
      <c r="K385" s="59"/>
    </row>
    <row r="386" spans="1:11" ht="12.75">
      <c r="A386" s="46"/>
      <c r="B386" s="43"/>
      <c r="C386" s="77"/>
      <c r="D386" s="5"/>
      <c r="E386" s="9"/>
      <c r="F386" s="5"/>
      <c r="G386" s="20"/>
      <c r="H386" s="24">
        <f>SUM(H384:H385)</f>
        <v>832.4025</v>
      </c>
      <c r="I386" s="71" t="s">
        <v>243</v>
      </c>
      <c r="J386" s="9">
        <v>39.05</v>
      </c>
      <c r="K386" s="59">
        <f>H386*J386</f>
        <v>32505.317625</v>
      </c>
    </row>
    <row r="387" spans="1:11" ht="12.75">
      <c r="A387" s="46"/>
      <c r="B387" s="43"/>
      <c r="C387" s="77"/>
      <c r="D387" s="5"/>
      <c r="E387" s="9"/>
      <c r="F387" s="5"/>
      <c r="G387" s="20"/>
      <c r="H387" s="15"/>
      <c r="I387" s="71"/>
      <c r="J387" s="3"/>
      <c r="K387" s="59"/>
    </row>
    <row r="388" spans="1:11" ht="123.75">
      <c r="A388" s="46">
        <v>62</v>
      </c>
      <c r="B388" s="47"/>
      <c r="C388" s="77" t="s">
        <v>98</v>
      </c>
      <c r="D388" s="5"/>
      <c r="E388" s="9"/>
      <c r="F388" s="5"/>
      <c r="G388" s="20"/>
      <c r="H388" s="15">
        <v>1</v>
      </c>
      <c r="I388" s="71" t="s">
        <v>234</v>
      </c>
      <c r="J388" s="3">
        <v>4500</v>
      </c>
      <c r="K388" s="59">
        <f>H388*J388</f>
        <v>4500</v>
      </c>
    </row>
    <row r="389" spans="1:11" ht="12.75">
      <c r="A389" s="46"/>
      <c r="B389" s="47"/>
      <c r="C389" s="77"/>
      <c r="D389" s="5"/>
      <c r="E389" s="9"/>
      <c r="F389" s="5"/>
      <c r="G389" s="20"/>
      <c r="H389" s="15"/>
      <c r="I389" s="71"/>
      <c r="J389" s="3"/>
      <c r="K389" s="59"/>
    </row>
    <row r="390" spans="1:11" ht="157.5">
      <c r="A390" s="46">
        <v>63</v>
      </c>
      <c r="B390" s="47"/>
      <c r="C390" s="77" t="s">
        <v>70</v>
      </c>
      <c r="D390" s="5"/>
      <c r="E390" s="9"/>
      <c r="F390" s="5"/>
      <c r="G390" s="20"/>
      <c r="H390" s="15">
        <v>33</v>
      </c>
      <c r="I390" s="71" t="s">
        <v>243</v>
      </c>
      <c r="J390" s="9">
        <v>114.19</v>
      </c>
      <c r="K390" s="59">
        <f>H390*J390</f>
        <v>3768.27</v>
      </c>
    </row>
    <row r="391" spans="1:11" ht="12.75">
      <c r="A391" s="46"/>
      <c r="B391" s="47"/>
      <c r="C391" s="77"/>
      <c r="D391" s="5"/>
      <c r="E391" s="9"/>
      <c r="F391" s="5"/>
      <c r="G391" s="20"/>
      <c r="H391" s="15"/>
      <c r="I391" s="71"/>
      <c r="J391" s="3"/>
      <c r="K391" s="59"/>
    </row>
    <row r="392" spans="1:11" ht="101.25">
      <c r="A392" s="46">
        <v>64</v>
      </c>
      <c r="B392" s="47"/>
      <c r="C392" s="77" t="s">
        <v>92</v>
      </c>
      <c r="D392" s="5">
        <v>68</v>
      </c>
      <c r="E392" s="9"/>
      <c r="F392" s="5">
        <v>9</v>
      </c>
      <c r="G392" s="20"/>
      <c r="H392" s="15">
        <f>D392*F392</f>
        <v>612</v>
      </c>
      <c r="I392" s="71" t="s">
        <v>243</v>
      </c>
      <c r="J392" s="3">
        <v>13</v>
      </c>
      <c r="K392" s="59">
        <f>H392*J392</f>
        <v>7956</v>
      </c>
    </row>
    <row r="393" spans="1:11" ht="12.75">
      <c r="A393" s="46"/>
      <c r="B393" s="47"/>
      <c r="C393" s="77"/>
      <c r="D393" s="5"/>
      <c r="E393" s="9"/>
      <c r="F393" s="5"/>
      <c r="G393" s="20"/>
      <c r="H393" s="15"/>
      <c r="I393" s="71"/>
      <c r="J393" s="3"/>
      <c r="K393" s="59"/>
    </row>
    <row r="394" spans="1:11" ht="112.5">
      <c r="A394" s="46">
        <v>65</v>
      </c>
      <c r="B394" s="47"/>
      <c r="C394" s="77" t="s">
        <v>90</v>
      </c>
      <c r="D394" s="5"/>
      <c r="E394" s="9"/>
      <c r="F394" s="5"/>
      <c r="G394" s="20"/>
      <c r="H394" s="15">
        <v>2</v>
      </c>
      <c r="I394" s="71" t="s">
        <v>251</v>
      </c>
      <c r="J394" s="3">
        <v>800</v>
      </c>
      <c r="K394" s="59">
        <f>H394*J394</f>
        <v>1600</v>
      </c>
    </row>
    <row r="395" spans="1:11" ht="12.75">
      <c r="A395" s="46"/>
      <c r="B395" s="47"/>
      <c r="C395" s="77"/>
      <c r="D395" s="5"/>
      <c r="E395" s="9"/>
      <c r="F395" s="5"/>
      <c r="G395" s="20"/>
      <c r="H395" s="15"/>
      <c r="I395" s="71"/>
      <c r="J395" s="3"/>
      <c r="K395" s="59"/>
    </row>
    <row r="396" spans="1:11" ht="146.25">
      <c r="A396" s="46">
        <v>66</v>
      </c>
      <c r="B396" s="47"/>
      <c r="C396" s="77" t="s">
        <v>91</v>
      </c>
      <c r="D396" s="5"/>
      <c r="E396" s="9"/>
      <c r="F396" s="5"/>
      <c r="G396" s="20"/>
      <c r="H396" s="15">
        <v>2</v>
      </c>
      <c r="I396" s="71" t="s">
        <v>251</v>
      </c>
      <c r="J396" s="3">
        <v>1500</v>
      </c>
      <c r="K396" s="59">
        <f>H396*J396</f>
        <v>3000</v>
      </c>
    </row>
    <row r="397" spans="1:11" ht="12.75">
      <c r="A397" s="46"/>
      <c r="B397" s="47"/>
      <c r="C397" s="77"/>
      <c r="D397" s="5"/>
      <c r="E397" s="9"/>
      <c r="F397" s="5"/>
      <c r="G397" s="20"/>
      <c r="H397" s="15"/>
      <c r="I397" s="71"/>
      <c r="J397" s="3"/>
      <c r="K397" s="59"/>
    </row>
    <row r="398" spans="1:11" ht="273.75" customHeight="1">
      <c r="A398" s="46">
        <v>67</v>
      </c>
      <c r="B398" s="47"/>
      <c r="C398" s="83" t="s">
        <v>289</v>
      </c>
      <c r="D398" s="5"/>
      <c r="E398" s="9"/>
      <c r="F398" s="5"/>
      <c r="G398" s="20"/>
      <c r="H398" s="15">
        <v>1</v>
      </c>
      <c r="I398" s="71"/>
      <c r="J398" s="3">
        <v>7500</v>
      </c>
      <c r="K398" s="59">
        <f>H398*J398</f>
        <v>7500</v>
      </c>
    </row>
    <row r="399" spans="1:16" ht="12.75">
      <c r="A399" s="46"/>
      <c r="B399" s="47"/>
      <c r="C399" s="83"/>
      <c r="D399" s="5"/>
      <c r="E399" s="9"/>
      <c r="F399" s="5"/>
      <c r="G399" s="20"/>
      <c r="H399" s="15"/>
      <c r="I399" s="71"/>
      <c r="J399" s="3"/>
      <c r="K399" s="59"/>
      <c r="M399" s="73"/>
      <c r="N399" s="73"/>
      <c r="O399" s="73"/>
      <c r="P399" s="73"/>
    </row>
    <row r="400" spans="1:11" ht="45">
      <c r="A400" s="46">
        <v>68</v>
      </c>
      <c r="B400" s="43"/>
      <c r="C400" s="77" t="s">
        <v>52</v>
      </c>
      <c r="D400" s="5"/>
      <c r="E400" s="9"/>
      <c r="F400" s="5"/>
      <c r="G400" s="20"/>
      <c r="H400" s="107">
        <f>H244+H252+H257</f>
        <v>1336.7025</v>
      </c>
      <c r="I400" s="71" t="s">
        <v>243</v>
      </c>
      <c r="J400" s="3">
        <v>12</v>
      </c>
      <c r="K400" s="59">
        <f>H400*J400</f>
        <v>16040.43</v>
      </c>
    </row>
    <row r="401" spans="1:11" ht="12.75">
      <c r="A401" s="46"/>
      <c r="B401" s="43"/>
      <c r="C401" s="77"/>
      <c r="D401" s="5"/>
      <c r="E401" s="9"/>
      <c r="F401" s="5"/>
      <c r="G401" s="20"/>
      <c r="H401" s="15"/>
      <c r="I401" s="71"/>
      <c r="J401" s="168"/>
      <c r="K401" s="59"/>
    </row>
    <row r="402" spans="1:11" ht="45">
      <c r="A402" s="46">
        <v>69</v>
      </c>
      <c r="B402" s="43"/>
      <c r="C402" s="77" t="s">
        <v>53</v>
      </c>
      <c r="D402" s="5"/>
      <c r="E402" s="9"/>
      <c r="F402" s="5"/>
      <c r="G402" s="20"/>
      <c r="H402" s="107">
        <f>H268</f>
        <v>680</v>
      </c>
      <c r="I402" s="71" t="s">
        <v>63</v>
      </c>
      <c r="J402" s="3">
        <v>2.6</v>
      </c>
      <c r="K402" s="59">
        <f>H402*J402</f>
        <v>1768</v>
      </c>
    </row>
    <row r="403" spans="1:11" ht="12.75">
      <c r="A403" s="46"/>
      <c r="B403" s="43"/>
      <c r="C403" s="77"/>
      <c r="D403" s="5"/>
      <c r="E403" s="9"/>
      <c r="F403" s="5"/>
      <c r="G403" s="20"/>
      <c r="H403" s="15"/>
      <c r="I403" s="71"/>
      <c r="J403" s="168"/>
      <c r="K403" s="59"/>
    </row>
    <row r="404" spans="1:11" ht="33.75">
      <c r="A404" s="46">
        <v>70</v>
      </c>
      <c r="B404" s="43"/>
      <c r="C404" s="77" t="s">
        <v>93</v>
      </c>
      <c r="D404" s="5"/>
      <c r="E404" s="9"/>
      <c r="F404" s="5"/>
      <c r="G404" s="20"/>
      <c r="H404" s="15">
        <f>H457+H463+H474+H486</f>
        <v>203.03</v>
      </c>
      <c r="I404" s="71" t="s">
        <v>243</v>
      </c>
      <c r="J404" s="3">
        <v>16.2</v>
      </c>
      <c r="K404" s="59">
        <f>H404*J404</f>
        <v>3289.086</v>
      </c>
    </row>
    <row r="405" spans="1:11" ht="12.75">
      <c r="A405" s="46"/>
      <c r="B405" s="43"/>
      <c r="C405" s="77"/>
      <c r="D405" s="5"/>
      <c r="E405" s="9"/>
      <c r="F405" s="5"/>
      <c r="G405" s="20"/>
      <c r="H405" s="15"/>
      <c r="I405" s="71"/>
      <c r="J405" s="168"/>
      <c r="K405" s="59"/>
    </row>
    <row r="406" spans="1:11" ht="22.5">
      <c r="A406" s="46">
        <v>71</v>
      </c>
      <c r="B406" s="43"/>
      <c r="C406" s="77" t="s">
        <v>258</v>
      </c>
      <c r="D406" s="5"/>
      <c r="E406" s="9"/>
      <c r="F406" s="5"/>
      <c r="G406" s="20"/>
      <c r="H406" s="79"/>
      <c r="I406" s="71"/>
      <c r="J406" s="168"/>
      <c r="K406" s="59"/>
    </row>
    <row r="407" spans="1:11" ht="12.75">
      <c r="A407" s="46"/>
      <c r="B407" s="43"/>
      <c r="C407" s="77" t="s">
        <v>115</v>
      </c>
      <c r="D407" s="5"/>
      <c r="E407" s="9">
        <v>1</v>
      </c>
      <c r="F407" s="5">
        <v>2.25</v>
      </c>
      <c r="G407" s="20">
        <v>29</v>
      </c>
      <c r="H407" s="15">
        <f>E407*F407*G407</f>
        <v>65.25</v>
      </c>
      <c r="I407" s="71" t="s">
        <v>24</v>
      </c>
      <c r="J407" s="168"/>
      <c r="K407" s="59"/>
    </row>
    <row r="408" spans="1:11" ht="13.5" thickBot="1">
      <c r="A408" s="46"/>
      <c r="B408" s="43"/>
      <c r="C408" s="77" t="s">
        <v>253</v>
      </c>
      <c r="D408" s="5"/>
      <c r="E408" s="9">
        <v>1</v>
      </c>
      <c r="F408" s="5">
        <v>2.25</v>
      </c>
      <c r="G408" s="20">
        <v>41</v>
      </c>
      <c r="H408" s="35">
        <f>E408*F408*G408</f>
        <v>92.25</v>
      </c>
      <c r="I408" s="71" t="s">
        <v>24</v>
      </c>
      <c r="J408" s="168"/>
      <c r="K408" s="59"/>
    </row>
    <row r="409" spans="1:11" ht="12.75">
      <c r="A409" s="46"/>
      <c r="B409" s="43"/>
      <c r="C409" s="77"/>
      <c r="D409" s="5"/>
      <c r="E409" s="9"/>
      <c r="F409" s="5"/>
      <c r="G409" s="20"/>
      <c r="H409" s="115">
        <f>H407+H408</f>
        <v>157.5</v>
      </c>
      <c r="I409" s="71" t="s">
        <v>24</v>
      </c>
      <c r="J409" s="3">
        <v>10.8</v>
      </c>
      <c r="K409" s="59">
        <f>H409*J409</f>
        <v>1701</v>
      </c>
    </row>
    <row r="410" spans="1:11" ht="12.75">
      <c r="A410" s="46"/>
      <c r="B410" s="43"/>
      <c r="C410" s="77"/>
      <c r="D410" s="5"/>
      <c r="E410" s="9"/>
      <c r="F410" s="5"/>
      <c r="G410" s="20"/>
      <c r="H410" s="15"/>
      <c r="I410" s="71"/>
      <c r="J410" s="168"/>
      <c r="K410" s="59"/>
    </row>
    <row r="411" spans="1:11" ht="22.5">
      <c r="A411" s="46">
        <v>72</v>
      </c>
      <c r="B411" s="43"/>
      <c r="C411" s="77" t="s">
        <v>259</v>
      </c>
      <c r="D411" s="5"/>
      <c r="E411" s="9"/>
      <c r="F411" s="5"/>
      <c r="G411" s="20"/>
      <c r="H411" s="107">
        <f>H330</f>
        <v>403.2</v>
      </c>
      <c r="I411" s="71" t="s">
        <v>25</v>
      </c>
      <c r="J411" s="3">
        <v>15</v>
      </c>
      <c r="K411" s="59">
        <f>H411*J411</f>
        <v>6048</v>
      </c>
    </row>
    <row r="412" spans="1:11" ht="12.75">
      <c r="A412" s="46"/>
      <c r="B412" s="43"/>
      <c r="C412" s="77"/>
      <c r="D412" s="5"/>
      <c r="E412" s="9"/>
      <c r="F412" s="5"/>
      <c r="G412" s="20"/>
      <c r="H412" s="15"/>
      <c r="I412" s="71"/>
      <c r="J412" s="168"/>
      <c r="K412" s="59"/>
    </row>
    <row r="413" spans="1:16" ht="90">
      <c r="A413" s="46">
        <v>73</v>
      </c>
      <c r="B413" s="43"/>
      <c r="C413" s="77" t="s">
        <v>51</v>
      </c>
      <c r="D413" s="5"/>
      <c r="E413" s="9"/>
      <c r="F413" s="5"/>
      <c r="G413" s="20"/>
      <c r="H413" s="79">
        <f>SUM(K494:K523)</f>
        <v>68966</v>
      </c>
      <c r="I413" s="71" t="s">
        <v>233</v>
      </c>
      <c r="J413" s="3">
        <v>0.28</v>
      </c>
      <c r="K413" s="59">
        <f>H413*J413</f>
        <v>19310.480000000003</v>
      </c>
      <c r="M413" s="73"/>
      <c r="N413" s="73"/>
      <c r="O413" s="73"/>
      <c r="P413" s="73"/>
    </row>
    <row r="414" spans="1:16" ht="12.75">
      <c r="A414" s="46"/>
      <c r="B414" s="47"/>
      <c r="C414" s="83"/>
      <c r="D414" s="5"/>
      <c r="E414" s="9"/>
      <c r="F414" s="5"/>
      <c r="G414" s="20"/>
      <c r="H414" s="15"/>
      <c r="I414" s="71"/>
      <c r="J414" s="3"/>
      <c r="K414" s="59"/>
      <c r="M414" s="73"/>
      <c r="N414" s="73"/>
      <c r="O414" s="73"/>
      <c r="P414" s="73"/>
    </row>
    <row r="415" spans="1:16" ht="22.5">
      <c r="A415" s="46">
        <v>74</v>
      </c>
      <c r="B415" s="47"/>
      <c r="C415" s="83" t="s">
        <v>271</v>
      </c>
      <c r="D415" s="5"/>
      <c r="E415" s="9"/>
      <c r="F415" s="5"/>
      <c r="G415" s="20"/>
      <c r="H415" s="15">
        <v>463.65</v>
      </c>
      <c r="I415" s="71" t="s">
        <v>243</v>
      </c>
      <c r="J415" s="3">
        <f>K415/H415</f>
        <v>19.955203278334952</v>
      </c>
      <c r="K415" s="59">
        <v>9252.23</v>
      </c>
      <c r="M415" s="73"/>
      <c r="N415" s="73"/>
      <c r="O415" s="73"/>
      <c r="P415" s="73"/>
    </row>
    <row r="416" spans="1:16" ht="12.75">
      <c r="A416" s="46"/>
      <c r="B416" s="47"/>
      <c r="C416" s="83"/>
      <c r="D416" s="5"/>
      <c r="E416" s="9"/>
      <c r="F416" s="5"/>
      <c r="G416" s="20"/>
      <c r="H416" s="15"/>
      <c r="I416" s="71"/>
      <c r="J416" s="3"/>
      <c r="K416" s="59"/>
      <c r="M416" s="73"/>
      <c r="N416" s="73"/>
      <c r="O416" s="73"/>
      <c r="P416" s="73"/>
    </row>
    <row r="417" spans="1:16" ht="202.5">
      <c r="A417" s="46">
        <v>75</v>
      </c>
      <c r="B417" s="43"/>
      <c r="C417" s="81" t="s">
        <v>256</v>
      </c>
      <c r="D417" s="6"/>
      <c r="E417" s="10"/>
      <c r="F417" s="6"/>
      <c r="G417" s="20"/>
      <c r="H417" s="15">
        <v>1</v>
      </c>
      <c r="I417" s="80" t="s">
        <v>251</v>
      </c>
      <c r="J417" s="72">
        <v>8000</v>
      </c>
      <c r="K417" s="161">
        <f>H417*J417</f>
        <v>8000</v>
      </c>
      <c r="M417" s="73"/>
      <c r="N417" s="73"/>
      <c r="O417" s="73"/>
      <c r="P417" s="73"/>
    </row>
    <row r="418" spans="1:11" ht="12.75">
      <c r="A418" s="46"/>
      <c r="B418" s="43"/>
      <c r="C418" s="81"/>
      <c r="D418" s="6"/>
      <c r="E418" s="10"/>
      <c r="F418" s="6"/>
      <c r="G418" s="20"/>
      <c r="H418" s="15"/>
      <c r="I418" s="80"/>
      <c r="J418" s="72"/>
      <c r="K418" s="161"/>
    </row>
    <row r="419" spans="1:11" ht="45">
      <c r="A419" s="46">
        <v>76</v>
      </c>
      <c r="B419" s="43"/>
      <c r="C419" s="81" t="s">
        <v>69</v>
      </c>
      <c r="D419" s="6">
        <v>15.5</v>
      </c>
      <c r="E419" s="10">
        <v>0.65</v>
      </c>
      <c r="F419" s="6"/>
      <c r="G419" s="20"/>
      <c r="H419" s="15">
        <f>D419*E419</f>
        <v>10.075000000000001</v>
      </c>
      <c r="I419" s="80" t="s">
        <v>243</v>
      </c>
      <c r="J419" s="72">
        <v>114.19</v>
      </c>
      <c r="K419" s="161">
        <f>H419*J419</f>
        <v>1150.46425</v>
      </c>
    </row>
    <row r="420" spans="1:11" ht="12.75">
      <c r="A420" s="46"/>
      <c r="B420" s="43"/>
      <c r="C420" s="81"/>
      <c r="D420" s="6"/>
      <c r="E420" s="10"/>
      <c r="F420" s="6"/>
      <c r="G420" s="20"/>
      <c r="H420" s="15"/>
      <c r="I420" s="80"/>
      <c r="J420" s="72"/>
      <c r="K420" s="161"/>
    </row>
    <row r="421" spans="1:11" ht="101.25">
      <c r="A421" s="46">
        <v>77</v>
      </c>
      <c r="B421" s="43"/>
      <c r="C421" s="77" t="s">
        <v>19</v>
      </c>
      <c r="D421" s="5"/>
      <c r="E421" s="9"/>
      <c r="F421" s="5"/>
      <c r="G421" s="20">
        <v>1.15</v>
      </c>
      <c r="H421" s="132">
        <v>1</v>
      </c>
      <c r="I421" s="17" t="s">
        <v>234</v>
      </c>
      <c r="J421" s="160">
        <f>8035*G421</f>
        <v>9240.25</v>
      </c>
      <c r="K421" s="161">
        <f>J421*H421</f>
        <v>9240.25</v>
      </c>
    </row>
    <row r="422" spans="1:11" ht="15">
      <c r="A422" s="46"/>
      <c r="B422" s="43"/>
      <c r="C422" s="171"/>
      <c r="D422" s="5"/>
      <c r="E422" s="9"/>
      <c r="F422" s="5"/>
      <c r="G422" s="20"/>
      <c r="H422" s="132"/>
      <c r="I422" s="17"/>
      <c r="J422" s="160"/>
      <c r="K422" s="161"/>
    </row>
    <row r="423" spans="1:11" ht="78.75">
      <c r="A423" s="46">
        <v>78</v>
      </c>
      <c r="B423" s="43"/>
      <c r="C423" s="13" t="s">
        <v>18</v>
      </c>
      <c r="D423" s="5">
        <v>17</v>
      </c>
      <c r="E423" s="9">
        <v>1.25</v>
      </c>
      <c r="F423" s="5"/>
      <c r="G423" s="20">
        <f>D423*E423</f>
        <v>21.25</v>
      </c>
      <c r="H423" s="132">
        <f>G423</f>
        <v>21.25</v>
      </c>
      <c r="I423" s="17" t="s">
        <v>243</v>
      </c>
      <c r="J423" s="160">
        <v>100</v>
      </c>
      <c r="K423" s="161">
        <f>J423*H423</f>
        <v>2125</v>
      </c>
    </row>
    <row r="424" spans="1:18" ht="12.75">
      <c r="A424" s="46"/>
      <c r="B424" s="43"/>
      <c r="C424" s="81"/>
      <c r="D424" s="6"/>
      <c r="E424" s="10"/>
      <c r="F424" s="6"/>
      <c r="G424" s="20"/>
      <c r="H424" s="15"/>
      <c r="I424" s="80"/>
      <c r="J424" s="72"/>
      <c r="K424" s="161"/>
      <c r="M424" s="73"/>
      <c r="N424" s="73"/>
      <c r="O424" s="73"/>
      <c r="P424" s="73"/>
      <c r="Q424" s="73"/>
      <c r="R424" s="73"/>
    </row>
    <row r="425" spans="1:12" ht="57" thickBot="1">
      <c r="A425" s="212">
        <v>79</v>
      </c>
      <c r="B425" s="181"/>
      <c r="C425" s="182" t="s">
        <v>255</v>
      </c>
      <c r="D425" s="74">
        <v>1.25</v>
      </c>
      <c r="E425" s="183"/>
      <c r="F425" s="74">
        <v>4.2</v>
      </c>
      <c r="G425" s="127"/>
      <c r="H425" s="35">
        <v>6</v>
      </c>
      <c r="I425" s="184" t="s">
        <v>251</v>
      </c>
      <c r="J425" s="185">
        <v>780</v>
      </c>
      <c r="K425" s="186">
        <f>H425*J425</f>
        <v>4680</v>
      </c>
      <c r="L425" s="290"/>
    </row>
    <row r="426" spans="1:17" ht="12.75">
      <c r="A426" s="109"/>
      <c r="B426" s="110"/>
      <c r="C426" s="83"/>
      <c r="D426" s="164"/>
      <c r="E426" s="191"/>
      <c r="F426" s="164"/>
      <c r="G426" s="21"/>
      <c r="H426" s="24"/>
      <c r="I426" s="192"/>
      <c r="J426" s="76"/>
      <c r="K426" s="114"/>
      <c r="M426" s="73"/>
      <c r="N426" s="73"/>
      <c r="O426" s="73"/>
      <c r="P426" s="73"/>
      <c r="Q426" s="73"/>
    </row>
    <row r="427" spans="1:17" ht="78.75">
      <c r="A427" s="46">
        <v>80</v>
      </c>
      <c r="B427" s="43"/>
      <c r="C427" s="77" t="s">
        <v>232</v>
      </c>
      <c r="D427" s="5"/>
      <c r="E427" s="9"/>
      <c r="F427" s="5"/>
      <c r="G427" s="20"/>
      <c r="H427" s="15"/>
      <c r="I427" s="71"/>
      <c r="J427" s="3"/>
      <c r="K427" s="59"/>
      <c r="M427" s="73"/>
      <c r="N427" s="73"/>
      <c r="O427" s="73"/>
      <c r="P427" s="73"/>
      <c r="Q427" s="73"/>
    </row>
    <row r="428" spans="1:11" ht="33.75">
      <c r="A428" s="46"/>
      <c r="B428" s="43"/>
      <c r="C428" s="78" t="s">
        <v>140</v>
      </c>
      <c r="D428" s="5"/>
      <c r="E428" s="9"/>
      <c r="F428" s="5"/>
      <c r="G428" s="20">
        <v>1.5</v>
      </c>
      <c r="H428" s="107">
        <f>H381*G428</f>
        <v>582.51</v>
      </c>
      <c r="I428" s="71" t="s">
        <v>24</v>
      </c>
      <c r="J428" s="3"/>
      <c r="K428" s="59"/>
    </row>
    <row r="429" spans="1:11" ht="12.75">
      <c r="A429" s="46"/>
      <c r="B429" s="43"/>
      <c r="C429" s="78" t="s">
        <v>139</v>
      </c>
      <c r="D429" s="5">
        <v>10</v>
      </c>
      <c r="E429" s="169">
        <v>1.2</v>
      </c>
      <c r="F429" s="5">
        <v>3.6</v>
      </c>
      <c r="G429" s="20">
        <v>18</v>
      </c>
      <c r="H429" s="15">
        <f aca="true" t="shared" si="9" ref="H429:H434">D429*F429*G429*E429</f>
        <v>777.6</v>
      </c>
      <c r="I429" s="71" t="s">
        <v>24</v>
      </c>
      <c r="J429" s="3"/>
      <c r="K429" s="59"/>
    </row>
    <row r="430" spans="1:11" ht="12.75">
      <c r="A430" s="46"/>
      <c r="B430" s="43"/>
      <c r="C430" s="78" t="s">
        <v>138</v>
      </c>
      <c r="D430" s="5">
        <v>45</v>
      </c>
      <c r="E430" s="169">
        <v>1.2</v>
      </c>
      <c r="F430" s="5">
        <v>3.6</v>
      </c>
      <c r="G430" s="20">
        <v>6</v>
      </c>
      <c r="H430" s="15">
        <f t="shared" si="9"/>
        <v>1166.3999999999999</v>
      </c>
      <c r="I430" s="71" t="s">
        <v>24</v>
      </c>
      <c r="J430" s="3"/>
      <c r="K430" s="59"/>
    </row>
    <row r="431" spans="1:11" ht="12.75">
      <c r="A431" s="46"/>
      <c r="B431" s="43"/>
      <c r="C431" s="78" t="s">
        <v>141</v>
      </c>
      <c r="D431" s="5">
        <v>10</v>
      </c>
      <c r="E431" s="169">
        <v>1.2</v>
      </c>
      <c r="F431" s="5">
        <v>3.6</v>
      </c>
      <c r="G431" s="20">
        <v>14</v>
      </c>
      <c r="H431" s="15">
        <f t="shared" si="9"/>
        <v>604.8</v>
      </c>
      <c r="I431" s="71" t="s">
        <v>24</v>
      </c>
      <c r="J431" s="3"/>
      <c r="K431" s="59"/>
    </row>
    <row r="432" spans="1:11" ht="12.75">
      <c r="A432" s="46"/>
      <c r="B432" s="43"/>
      <c r="C432" s="78" t="s">
        <v>142</v>
      </c>
      <c r="D432" s="5">
        <v>45</v>
      </c>
      <c r="E432" s="169">
        <v>1.2</v>
      </c>
      <c r="F432" s="5">
        <v>3.6</v>
      </c>
      <c r="G432" s="20">
        <v>6</v>
      </c>
      <c r="H432" s="15">
        <f t="shared" si="9"/>
        <v>1166.3999999999999</v>
      </c>
      <c r="I432" s="71" t="s">
        <v>24</v>
      </c>
      <c r="J432" s="3"/>
      <c r="K432" s="59"/>
    </row>
    <row r="433" spans="1:11" ht="22.5">
      <c r="A433" s="46"/>
      <c r="B433" s="43"/>
      <c r="C433" s="78" t="s">
        <v>144</v>
      </c>
      <c r="D433" s="5">
        <v>10.6</v>
      </c>
      <c r="E433" s="169">
        <v>1.2</v>
      </c>
      <c r="F433" s="5">
        <v>3.6</v>
      </c>
      <c r="G433" s="20">
        <v>10</v>
      </c>
      <c r="H433" s="15">
        <f t="shared" si="9"/>
        <v>457.91999999999996</v>
      </c>
      <c r="I433" s="71" t="s">
        <v>24</v>
      </c>
      <c r="J433" s="3"/>
      <c r="K433" s="59"/>
    </row>
    <row r="434" spans="1:11" ht="23.25" thickBot="1">
      <c r="A434" s="46"/>
      <c r="B434" s="43"/>
      <c r="C434" s="78" t="s">
        <v>143</v>
      </c>
      <c r="D434" s="5">
        <v>22</v>
      </c>
      <c r="E434" s="169">
        <v>1.2</v>
      </c>
      <c r="F434" s="5">
        <v>3.6</v>
      </c>
      <c r="G434" s="20">
        <v>4</v>
      </c>
      <c r="H434" s="35">
        <f t="shared" si="9"/>
        <v>380.16</v>
      </c>
      <c r="I434" s="71" t="s">
        <v>24</v>
      </c>
      <c r="J434" s="3"/>
      <c r="K434" s="59"/>
    </row>
    <row r="435" spans="1:11" ht="12.75">
      <c r="A435" s="46"/>
      <c r="B435" s="43"/>
      <c r="C435" s="77"/>
      <c r="D435" s="5"/>
      <c r="E435" s="9"/>
      <c r="F435" s="5"/>
      <c r="G435" s="20"/>
      <c r="H435" s="115">
        <f>SUM(H428:H434)</f>
        <v>5135.79</v>
      </c>
      <c r="I435" s="71" t="s">
        <v>24</v>
      </c>
      <c r="J435" s="3">
        <v>2.28</v>
      </c>
      <c r="K435" s="59">
        <f>H435*J435</f>
        <v>11709.6012</v>
      </c>
    </row>
    <row r="436" spans="1:11" ht="12.75">
      <c r="A436" s="46"/>
      <c r="B436" s="43"/>
      <c r="C436" s="78"/>
      <c r="D436" s="5"/>
      <c r="E436" s="9"/>
      <c r="F436" s="5"/>
      <c r="G436" s="20"/>
      <c r="H436" s="15"/>
      <c r="I436" s="71"/>
      <c r="J436" s="3"/>
      <c r="K436" s="59"/>
    </row>
    <row r="437" spans="1:11" ht="90">
      <c r="A437" s="46">
        <v>81</v>
      </c>
      <c r="B437" s="43"/>
      <c r="C437" s="77" t="s">
        <v>136</v>
      </c>
      <c r="D437" s="5"/>
      <c r="E437" s="9"/>
      <c r="F437" s="5"/>
      <c r="G437" s="20"/>
      <c r="H437" s="107">
        <f>0.2*H435</f>
        <v>1027.1580000000001</v>
      </c>
      <c r="I437" s="71" t="s">
        <v>243</v>
      </c>
      <c r="J437" s="3">
        <v>4.78</v>
      </c>
      <c r="K437" s="59">
        <f>H437*J437</f>
        <v>4909.815240000001</v>
      </c>
    </row>
    <row r="438" spans="1:11" ht="12.75">
      <c r="A438" s="46"/>
      <c r="B438" s="43"/>
      <c r="C438" s="77"/>
      <c r="D438" s="5"/>
      <c r="E438" s="9"/>
      <c r="F438" s="5"/>
      <c r="G438" s="20"/>
      <c r="H438" s="15"/>
      <c r="I438" s="71"/>
      <c r="J438" s="3"/>
      <c r="K438" s="59"/>
    </row>
    <row r="439" spans="1:11" ht="101.25">
      <c r="A439" s="46">
        <v>82</v>
      </c>
      <c r="B439" s="43"/>
      <c r="C439" s="77" t="s">
        <v>145</v>
      </c>
      <c r="D439" s="5"/>
      <c r="E439" s="9"/>
      <c r="F439" s="5"/>
      <c r="G439" s="20"/>
      <c r="H439" s="107">
        <f>H435-H428</f>
        <v>4553.28</v>
      </c>
      <c r="I439" s="71" t="s">
        <v>243</v>
      </c>
      <c r="J439" s="3">
        <v>15.29</v>
      </c>
      <c r="K439" s="59">
        <f>H439*J439</f>
        <v>69619.6512</v>
      </c>
    </row>
    <row r="440" spans="1:11" ht="12.75">
      <c r="A440" s="46"/>
      <c r="B440" s="43"/>
      <c r="C440" s="77"/>
      <c r="D440" s="5"/>
      <c r="E440" s="9"/>
      <c r="F440" s="5"/>
      <c r="G440" s="20"/>
      <c r="H440" s="15"/>
      <c r="I440" s="71"/>
      <c r="J440" s="3"/>
      <c r="K440" s="59"/>
    </row>
    <row r="441" spans="1:12" ht="79.5" thickBot="1">
      <c r="A441" s="212">
        <v>83</v>
      </c>
      <c r="B441" s="181"/>
      <c r="C441" s="243" t="s">
        <v>146</v>
      </c>
      <c r="D441" s="74"/>
      <c r="E441" s="183"/>
      <c r="F441" s="74"/>
      <c r="G441" s="127"/>
      <c r="H441" s="108">
        <f>H428</f>
        <v>582.51</v>
      </c>
      <c r="I441" s="184" t="s">
        <v>243</v>
      </c>
      <c r="J441" s="185">
        <v>8.08</v>
      </c>
      <c r="K441" s="233">
        <f>H441*J441</f>
        <v>4706.6808</v>
      </c>
      <c r="L441" s="290"/>
    </row>
    <row r="442" spans="1:11" ht="12.75">
      <c r="A442" s="109"/>
      <c r="B442" s="110"/>
      <c r="C442" s="296"/>
      <c r="D442" s="164"/>
      <c r="E442" s="191"/>
      <c r="F442" s="164"/>
      <c r="G442" s="21"/>
      <c r="H442" s="24"/>
      <c r="I442" s="192"/>
      <c r="J442" s="76"/>
      <c r="K442" s="114"/>
    </row>
    <row r="443" spans="1:11" ht="168.75">
      <c r="A443" s="46">
        <v>84</v>
      </c>
      <c r="B443" s="43"/>
      <c r="C443" s="81" t="s">
        <v>99</v>
      </c>
      <c r="D443" s="6">
        <v>1.3</v>
      </c>
      <c r="E443" s="10"/>
      <c r="F443" s="6"/>
      <c r="G443" s="20"/>
      <c r="H443" s="15">
        <v>35</v>
      </c>
      <c r="I443" s="80" t="s">
        <v>325</v>
      </c>
      <c r="J443" s="72">
        <f>75.92*1.3</f>
        <v>98.69600000000001</v>
      </c>
      <c r="K443" s="59">
        <f>H443*J443</f>
        <v>3454.3600000000006</v>
      </c>
    </row>
    <row r="444" spans="1:11" ht="12.75">
      <c r="A444" s="46"/>
      <c r="B444" s="43"/>
      <c r="C444" s="81"/>
      <c r="D444" s="6"/>
      <c r="E444" s="10"/>
      <c r="F444" s="6"/>
      <c r="G444" s="20"/>
      <c r="H444" s="15"/>
      <c r="I444" s="80"/>
      <c r="J444" s="72"/>
      <c r="K444" s="59"/>
    </row>
    <row r="445" spans="1:11" ht="45">
      <c r="A445" s="46">
        <v>85</v>
      </c>
      <c r="B445" s="43"/>
      <c r="C445" s="81" t="s">
        <v>286</v>
      </c>
      <c r="D445" s="6"/>
      <c r="E445" s="10"/>
      <c r="F445" s="6"/>
      <c r="G445" s="20"/>
      <c r="H445" s="15">
        <v>1</v>
      </c>
      <c r="I445" s="80" t="s">
        <v>251</v>
      </c>
      <c r="J445" s="72">
        <v>4500</v>
      </c>
      <c r="K445" s="59">
        <f>H445*J445</f>
        <v>4500</v>
      </c>
    </row>
    <row r="446" spans="1:11" ht="12.75">
      <c r="A446" s="304"/>
      <c r="B446" s="44"/>
      <c r="C446" s="81"/>
      <c r="D446" s="6"/>
      <c r="E446" s="10"/>
      <c r="F446" s="6"/>
      <c r="G446" s="93"/>
      <c r="H446" s="63"/>
      <c r="I446" s="80"/>
      <c r="J446" s="72"/>
      <c r="K446" s="64"/>
    </row>
    <row r="447" spans="1:11" ht="45">
      <c r="A447" s="46">
        <v>86</v>
      </c>
      <c r="B447" s="43"/>
      <c r="C447" s="54" t="s">
        <v>100</v>
      </c>
      <c r="D447" s="23"/>
      <c r="E447" s="20"/>
      <c r="F447" s="23"/>
      <c r="G447" s="20"/>
      <c r="H447" s="15">
        <v>3</v>
      </c>
      <c r="I447" s="17" t="s">
        <v>251</v>
      </c>
      <c r="J447" s="160">
        <v>2500</v>
      </c>
      <c r="K447" s="161">
        <f>H447*J447</f>
        <v>7500</v>
      </c>
    </row>
    <row r="448" spans="1:11" ht="25.5" customHeight="1">
      <c r="A448" s="46"/>
      <c r="B448" s="43"/>
      <c r="C448" s="162"/>
      <c r="D448" s="23"/>
      <c r="E448" s="20"/>
      <c r="F448" s="23"/>
      <c r="G448" s="20"/>
      <c r="H448" s="15"/>
      <c r="I448" s="17"/>
      <c r="J448" s="160"/>
      <c r="K448" s="161"/>
    </row>
    <row r="449" spans="1:11" ht="123.75">
      <c r="A449" s="46">
        <v>87</v>
      </c>
      <c r="B449" s="43"/>
      <c r="C449" s="188" t="s">
        <v>101</v>
      </c>
      <c r="D449" s="23"/>
      <c r="E449" s="20"/>
      <c r="F449" s="23"/>
      <c r="G449" s="20"/>
      <c r="H449" s="15">
        <v>1</v>
      </c>
      <c r="I449" s="17" t="s">
        <v>234</v>
      </c>
      <c r="J449" s="160">
        <v>6000</v>
      </c>
      <c r="K449" s="161">
        <v>6000</v>
      </c>
    </row>
    <row r="450" spans="1:11" ht="25.5" customHeight="1">
      <c r="A450" s="46"/>
      <c r="B450" s="43"/>
      <c r="C450" s="50"/>
      <c r="D450" s="23"/>
      <c r="E450" s="20"/>
      <c r="F450" s="23"/>
      <c r="G450" s="20"/>
      <c r="H450" s="15"/>
      <c r="I450" s="17"/>
      <c r="J450" s="160"/>
      <c r="K450" s="161"/>
    </row>
    <row r="451" spans="1:13" ht="56.25">
      <c r="A451" s="46">
        <v>88</v>
      </c>
      <c r="B451" s="43"/>
      <c r="C451" s="81" t="s">
        <v>287</v>
      </c>
      <c r="D451" s="5"/>
      <c r="E451" s="9"/>
      <c r="F451" s="5"/>
      <c r="G451" s="20"/>
      <c r="H451" s="132"/>
      <c r="I451" s="17"/>
      <c r="J451" s="160"/>
      <c r="K451" s="161"/>
      <c r="L451"/>
      <c r="M451" s="205"/>
    </row>
    <row r="452" spans="1:13" ht="22.5">
      <c r="A452" s="46"/>
      <c r="B452" s="47"/>
      <c r="C452" s="81" t="s">
        <v>284</v>
      </c>
      <c r="D452" s="6">
        <v>5.4</v>
      </c>
      <c r="E452" s="10"/>
      <c r="F452" s="6">
        <v>1.5</v>
      </c>
      <c r="G452" s="20"/>
      <c r="H452" s="132">
        <f>D452*F452</f>
        <v>8.100000000000001</v>
      </c>
      <c r="I452" s="95" t="s">
        <v>243</v>
      </c>
      <c r="J452" s="204"/>
      <c r="K452" s="161"/>
      <c r="L452"/>
      <c r="M452" s="205"/>
    </row>
    <row r="453" spans="1:13" ht="23.25" thickBot="1">
      <c r="A453" s="46"/>
      <c r="B453" s="47"/>
      <c r="C453" s="81" t="s">
        <v>285</v>
      </c>
      <c r="D453" s="6">
        <v>4.2</v>
      </c>
      <c r="E453" s="10"/>
      <c r="F453" s="6">
        <v>1.5</v>
      </c>
      <c r="G453" s="20"/>
      <c r="H453" s="133">
        <f>D453*F453</f>
        <v>6.300000000000001</v>
      </c>
      <c r="I453" s="95" t="s">
        <v>243</v>
      </c>
      <c r="J453" s="204"/>
      <c r="K453" s="161"/>
      <c r="L453"/>
      <c r="M453" s="205"/>
    </row>
    <row r="454" spans="1:13" ht="13.5" thickBot="1">
      <c r="A454" s="212"/>
      <c r="B454" s="235"/>
      <c r="C454" s="182"/>
      <c r="D454" s="74"/>
      <c r="E454" s="183"/>
      <c r="F454" s="74"/>
      <c r="G454" s="127">
        <v>1.15</v>
      </c>
      <c r="H454" s="298">
        <f>SUM(H452:H453)</f>
        <v>14.400000000000002</v>
      </c>
      <c r="I454" s="128" t="s">
        <v>243</v>
      </c>
      <c r="J454" s="244">
        <f>62*G454</f>
        <v>71.3</v>
      </c>
      <c r="K454" s="186">
        <f>H454*J454</f>
        <v>1026.72</v>
      </c>
      <c r="L454" s="299"/>
      <c r="M454" s="205"/>
    </row>
    <row r="455" spans="1:11" ht="31.5">
      <c r="A455" s="109"/>
      <c r="B455" s="110"/>
      <c r="C455" s="297" t="s">
        <v>260</v>
      </c>
      <c r="D455" s="177"/>
      <c r="E455" s="178"/>
      <c r="F455" s="177"/>
      <c r="G455" s="21"/>
      <c r="H455" s="130"/>
      <c r="I455" s="179"/>
      <c r="J455" s="261"/>
      <c r="K455" s="180"/>
    </row>
    <row r="456" spans="1:11" ht="12.75">
      <c r="A456" s="46"/>
      <c r="B456" s="43"/>
      <c r="C456" s="67"/>
      <c r="D456" s="6"/>
      <c r="E456" s="10"/>
      <c r="F456" s="6"/>
      <c r="G456" s="20"/>
      <c r="H456" s="132"/>
      <c r="I456" s="80"/>
      <c r="J456" s="72"/>
      <c r="K456" s="161"/>
    </row>
    <row r="457" spans="1:11" ht="101.25">
      <c r="A457" s="46">
        <v>89</v>
      </c>
      <c r="B457" s="43"/>
      <c r="C457" s="54" t="s">
        <v>154</v>
      </c>
      <c r="D457" s="6"/>
      <c r="E457" s="10"/>
      <c r="F457" s="6"/>
      <c r="G457" s="20"/>
      <c r="H457" s="132">
        <v>48.21</v>
      </c>
      <c r="I457" s="17" t="s">
        <v>243</v>
      </c>
      <c r="J457" s="160">
        <v>235</v>
      </c>
      <c r="K457" s="161">
        <f>H457*J457</f>
        <v>11329.35</v>
      </c>
    </row>
    <row r="458" spans="1:11" ht="12.75">
      <c r="A458" s="46"/>
      <c r="B458" s="43"/>
      <c r="C458" s="54"/>
      <c r="D458" s="6"/>
      <c r="E458" s="10"/>
      <c r="F458" s="6"/>
      <c r="G458" s="20"/>
      <c r="H458" s="132"/>
      <c r="I458" s="17"/>
      <c r="J458" s="160"/>
      <c r="K458" s="161"/>
    </row>
    <row r="459" spans="1:11" ht="45">
      <c r="A459" s="46">
        <v>90</v>
      </c>
      <c r="B459" s="43"/>
      <c r="C459" s="54" t="s">
        <v>155</v>
      </c>
      <c r="D459" s="6"/>
      <c r="E459" s="10"/>
      <c r="F459" s="6"/>
      <c r="G459" s="20"/>
      <c r="H459" s="132">
        <v>1</v>
      </c>
      <c r="I459" s="17" t="s">
        <v>251</v>
      </c>
      <c r="J459" s="160">
        <v>300</v>
      </c>
      <c r="K459" s="161">
        <f>H459*J459</f>
        <v>300</v>
      </c>
    </row>
    <row r="460" spans="1:11" ht="15">
      <c r="A460" s="46"/>
      <c r="B460" s="43"/>
      <c r="C460" s="171"/>
      <c r="D460" s="6"/>
      <c r="E460" s="10"/>
      <c r="F460" s="6"/>
      <c r="G460" s="20"/>
      <c r="H460" s="132"/>
      <c r="I460" s="17"/>
      <c r="J460" s="160"/>
      <c r="K460" s="161"/>
    </row>
    <row r="461" spans="1:11" ht="157.5">
      <c r="A461" s="46">
        <v>91</v>
      </c>
      <c r="B461" s="43"/>
      <c r="C461" s="54" t="s">
        <v>298</v>
      </c>
      <c r="D461" s="6"/>
      <c r="E461" s="10"/>
      <c r="F461" s="6"/>
      <c r="G461" s="20"/>
      <c r="H461" s="132">
        <v>0</v>
      </c>
      <c r="I461" s="17" t="s">
        <v>251</v>
      </c>
      <c r="J461" s="160">
        <v>950</v>
      </c>
      <c r="K461" s="161">
        <f aca="true" t="shared" si="10" ref="K461:K467">H461*J461</f>
        <v>0</v>
      </c>
    </row>
    <row r="462" spans="1:11" ht="15">
      <c r="A462" s="46"/>
      <c r="B462" s="43"/>
      <c r="C462" s="171"/>
      <c r="D462" s="6"/>
      <c r="E462" s="10"/>
      <c r="F462" s="6"/>
      <c r="G462" s="20"/>
      <c r="H462" s="132"/>
      <c r="I462" s="17"/>
      <c r="J462" s="160"/>
      <c r="K462" s="161"/>
    </row>
    <row r="463" spans="1:11" ht="45">
      <c r="A463" s="46">
        <v>92</v>
      </c>
      <c r="B463" s="43"/>
      <c r="C463" s="13" t="s">
        <v>299</v>
      </c>
      <c r="D463" s="6"/>
      <c r="E463" s="10"/>
      <c r="F463" s="6"/>
      <c r="G463" s="20"/>
      <c r="H463" s="132">
        <v>11.66</v>
      </c>
      <c r="I463" s="17" t="s">
        <v>243</v>
      </c>
      <c r="J463" s="160">
        <v>330</v>
      </c>
      <c r="K463" s="161">
        <f t="shared" si="10"/>
        <v>3847.8</v>
      </c>
    </row>
    <row r="464" spans="1:11" ht="15">
      <c r="A464" s="46"/>
      <c r="B464" s="43"/>
      <c r="C464" s="171"/>
      <c r="D464" s="6"/>
      <c r="E464" s="10"/>
      <c r="F464" s="6"/>
      <c r="G464" s="20"/>
      <c r="H464" s="132"/>
      <c r="I464" s="17"/>
      <c r="J464" s="160"/>
      <c r="K464" s="161"/>
    </row>
    <row r="465" spans="1:11" ht="33.75">
      <c r="A465" s="46">
        <v>93</v>
      </c>
      <c r="B465" s="43"/>
      <c r="C465" s="54" t="s">
        <v>300</v>
      </c>
      <c r="D465" s="6"/>
      <c r="E465" s="10"/>
      <c r="F465" s="6"/>
      <c r="G465" s="20"/>
      <c r="H465" s="132">
        <v>5</v>
      </c>
      <c r="I465" s="17" t="s">
        <v>251</v>
      </c>
      <c r="J465" s="160">
        <v>90</v>
      </c>
      <c r="K465" s="161">
        <f t="shared" si="10"/>
        <v>450</v>
      </c>
    </row>
    <row r="466" spans="1:11" ht="15">
      <c r="A466" s="46"/>
      <c r="B466" s="43"/>
      <c r="C466" s="171"/>
      <c r="D466" s="6"/>
      <c r="E466" s="10"/>
      <c r="F466" s="6"/>
      <c r="G466" s="20"/>
      <c r="H466" s="132"/>
      <c r="I466" s="17"/>
      <c r="J466" s="160"/>
      <c r="K466" s="161"/>
    </row>
    <row r="467" spans="1:11" ht="56.25">
      <c r="A467" s="46">
        <v>94</v>
      </c>
      <c r="B467" s="43"/>
      <c r="C467" s="54" t="s">
        <v>301</v>
      </c>
      <c r="D467" s="6"/>
      <c r="E467" s="10"/>
      <c r="F467" s="6"/>
      <c r="G467" s="20"/>
      <c r="H467" s="132">
        <v>15.55</v>
      </c>
      <c r="I467" s="17" t="s">
        <v>63</v>
      </c>
      <c r="J467" s="160">
        <v>100</v>
      </c>
      <c r="K467" s="161">
        <f t="shared" si="10"/>
        <v>1555</v>
      </c>
    </row>
    <row r="468" spans="1:11" ht="15">
      <c r="A468" s="46"/>
      <c r="B468" s="43"/>
      <c r="C468" s="171"/>
      <c r="D468" s="6"/>
      <c r="E468" s="10"/>
      <c r="F468" s="6"/>
      <c r="G468" s="20"/>
      <c r="H468" s="132"/>
      <c r="I468" s="17"/>
      <c r="J468" s="160"/>
      <c r="K468" s="161"/>
    </row>
    <row r="469" spans="1:11" ht="78.75">
      <c r="A469" s="46">
        <v>95</v>
      </c>
      <c r="B469" s="43"/>
      <c r="C469" s="54" t="s">
        <v>87</v>
      </c>
      <c r="D469" s="6"/>
      <c r="E469" s="10"/>
      <c r="F469" s="6"/>
      <c r="G469" s="20"/>
      <c r="H469" s="132"/>
      <c r="I469" s="17"/>
      <c r="J469" s="172"/>
      <c r="K469" s="161"/>
    </row>
    <row r="470" spans="1:11" ht="12.75">
      <c r="A470" s="46"/>
      <c r="B470" s="43"/>
      <c r="C470" s="13" t="s">
        <v>115</v>
      </c>
      <c r="D470" s="6">
        <v>21.5</v>
      </c>
      <c r="E470" s="10"/>
      <c r="F470" s="6">
        <v>1.5</v>
      </c>
      <c r="G470" s="20"/>
      <c r="H470" s="132">
        <f>D470*F470</f>
        <v>32.25</v>
      </c>
      <c r="I470" s="17" t="s">
        <v>243</v>
      </c>
      <c r="J470" s="172"/>
      <c r="K470" s="161"/>
    </row>
    <row r="471" spans="1:11" ht="12.75">
      <c r="A471" s="46"/>
      <c r="B471" s="43"/>
      <c r="C471" s="13" t="s">
        <v>115</v>
      </c>
      <c r="D471" s="6">
        <v>9.5</v>
      </c>
      <c r="E471" s="10"/>
      <c r="F471" s="6">
        <v>2.4</v>
      </c>
      <c r="G471" s="20"/>
      <c r="H471" s="132">
        <f>D471*F471</f>
        <v>22.8</v>
      </c>
      <c r="I471" s="17" t="s">
        <v>243</v>
      </c>
      <c r="J471" s="172"/>
      <c r="K471" s="161"/>
    </row>
    <row r="472" spans="1:11" ht="12.75">
      <c r="A472" s="46"/>
      <c r="B472" s="43"/>
      <c r="C472" s="13" t="s">
        <v>253</v>
      </c>
      <c r="D472" s="6">
        <v>19.7</v>
      </c>
      <c r="E472" s="10"/>
      <c r="F472" s="6">
        <v>1.5</v>
      </c>
      <c r="G472" s="20"/>
      <c r="H472" s="132">
        <f>D472*F472</f>
        <v>29.549999999999997</v>
      </c>
      <c r="I472" s="17" t="s">
        <v>243</v>
      </c>
      <c r="J472" s="172"/>
      <c r="K472" s="161"/>
    </row>
    <row r="473" spans="1:11" ht="13.5" thickBot="1">
      <c r="A473" s="46"/>
      <c r="B473" s="43"/>
      <c r="C473" s="13" t="s">
        <v>253</v>
      </c>
      <c r="D473" s="6">
        <v>6.2</v>
      </c>
      <c r="E473" s="10"/>
      <c r="F473" s="6">
        <v>2.4</v>
      </c>
      <c r="G473" s="20"/>
      <c r="H473" s="133">
        <f>D473*F473</f>
        <v>14.879999999999999</v>
      </c>
      <c r="I473" s="17" t="s">
        <v>243</v>
      </c>
      <c r="J473" s="172"/>
      <c r="K473" s="161"/>
    </row>
    <row r="474" spans="1:11" ht="12.75">
      <c r="A474" s="46"/>
      <c r="B474" s="43"/>
      <c r="C474" s="13"/>
      <c r="D474" s="6"/>
      <c r="E474" s="10"/>
      <c r="F474" s="6"/>
      <c r="G474" s="20"/>
      <c r="H474" s="130">
        <f>SUM(H470:H473)</f>
        <v>99.47999999999999</v>
      </c>
      <c r="I474" s="17" t="s">
        <v>243</v>
      </c>
      <c r="J474" s="172">
        <v>330</v>
      </c>
      <c r="K474" s="161">
        <f>J474*H474</f>
        <v>32828.399999999994</v>
      </c>
    </row>
    <row r="475" spans="1:11" ht="12.75">
      <c r="A475" s="46"/>
      <c r="B475" s="43"/>
      <c r="C475" s="12"/>
      <c r="D475" s="6"/>
      <c r="E475" s="10"/>
      <c r="F475" s="6"/>
      <c r="G475" s="20"/>
      <c r="H475" s="132"/>
      <c r="I475" s="17"/>
      <c r="J475" s="172"/>
      <c r="K475" s="161"/>
    </row>
    <row r="476" spans="1:11" ht="33.75">
      <c r="A476" s="46">
        <v>96</v>
      </c>
      <c r="B476" s="43"/>
      <c r="C476" s="54" t="s">
        <v>297</v>
      </c>
      <c r="D476" s="6"/>
      <c r="E476" s="10"/>
      <c r="F476" s="6"/>
      <c r="G476" s="20"/>
      <c r="H476" s="173">
        <f>H474</f>
        <v>99.47999999999999</v>
      </c>
      <c r="I476" s="17" t="s">
        <v>243</v>
      </c>
      <c r="J476" s="172"/>
      <c r="K476" s="161"/>
    </row>
    <row r="477" spans="1:11" ht="13.5" thickBot="1">
      <c r="A477" s="46"/>
      <c r="B477" s="43"/>
      <c r="C477" s="13" t="s">
        <v>86</v>
      </c>
      <c r="D477" s="6">
        <f>D470+D471+D472+D473</f>
        <v>56.900000000000006</v>
      </c>
      <c r="E477" s="10"/>
      <c r="F477" s="6">
        <v>0.6</v>
      </c>
      <c r="G477" s="20"/>
      <c r="H477" s="133">
        <f>D477*F477</f>
        <v>34.14</v>
      </c>
      <c r="I477" s="17" t="s">
        <v>243</v>
      </c>
      <c r="J477" s="172"/>
      <c r="K477" s="161"/>
    </row>
    <row r="478" spans="1:11" ht="12.75">
      <c r="A478" s="46"/>
      <c r="B478" s="43"/>
      <c r="C478" s="13"/>
      <c r="D478" s="6"/>
      <c r="E478" s="10"/>
      <c r="F478" s="6"/>
      <c r="G478" s="20"/>
      <c r="H478" s="174">
        <f>SUM(H476:H477)</f>
        <v>133.62</v>
      </c>
      <c r="I478" s="17" t="s">
        <v>243</v>
      </c>
      <c r="J478" s="172">
        <v>42</v>
      </c>
      <c r="K478" s="161">
        <f>J478*H478</f>
        <v>5612.04</v>
      </c>
    </row>
    <row r="479" spans="1:11" ht="15">
      <c r="A479" s="46"/>
      <c r="B479" s="43"/>
      <c r="C479" s="171"/>
      <c r="D479" s="6"/>
      <c r="E479" s="10"/>
      <c r="F479" s="6"/>
      <c r="G479" s="20"/>
      <c r="H479" s="132"/>
      <c r="I479" s="17"/>
      <c r="J479" s="172"/>
      <c r="K479" s="161"/>
    </row>
    <row r="480" spans="1:11" ht="45">
      <c r="A480" s="46">
        <v>97</v>
      </c>
      <c r="B480" s="43"/>
      <c r="C480" s="54" t="s">
        <v>302</v>
      </c>
      <c r="D480" s="6"/>
      <c r="E480" s="10"/>
      <c r="F480" s="6"/>
      <c r="G480" s="20"/>
      <c r="H480" s="132"/>
      <c r="I480" s="17" t="s">
        <v>251</v>
      </c>
      <c r="J480" s="172"/>
      <c r="K480" s="161"/>
    </row>
    <row r="481" spans="1:11" ht="12.75">
      <c r="A481" s="46"/>
      <c r="B481" s="43"/>
      <c r="C481" s="13" t="s">
        <v>115</v>
      </c>
      <c r="D481" s="6"/>
      <c r="E481" s="10"/>
      <c r="F481" s="6"/>
      <c r="G481" s="20">
        <v>22</v>
      </c>
      <c r="H481" s="132">
        <f>G481</f>
        <v>22</v>
      </c>
      <c r="I481" s="17" t="s">
        <v>251</v>
      </c>
      <c r="J481" s="172"/>
      <c r="K481" s="161"/>
    </row>
    <row r="482" spans="1:11" ht="13.5" thickBot="1">
      <c r="A482" s="46"/>
      <c r="B482" s="43"/>
      <c r="C482" s="13" t="s">
        <v>253</v>
      </c>
      <c r="D482" s="6"/>
      <c r="E482" s="10"/>
      <c r="F482" s="6"/>
      <c r="G482" s="20">
        <v>27</v>
      </c>
      <c r="H482" s="133">
        <f>G482</f>
        <v>27</v>
      </c>
      <c r="I482" s="17" t="s">
        <v>251</v>
      </c>
      <c r="J482" s="172"/>
      <c r="K482" s="161"/>
    </row>
    <row r="483" spans="1:11" ht="12.75">
      <c r="A483" s="46"/>
      <c r="B483" s="43"/>
      <c r="C483" s="13"/>
      <c r="D483" s="6"/>
      <c r="E483" s="10"/>
      <c r="F483" s="6"/>
      <c r="G483" s="20"/>
      <c r="H483" s="130">
        <f>SUM(H481:H482)</f>
        <v>49</v>
      </c>
      <c r="I483" s="17" t="s">
        <v>251</v>
      </c>
      <c r="J483" s="172">
        <v>50</v>
      </c>
      <c r="K483" s="161">
        <f>J483*H483</f>
        <v>2450</v>
      </c>
    </row>
    <row r="484" spans="1:11" ht="12.75">
      <c r="A484" s="46"/>
      <c r="B484" s="43"/>
      <c r="C484" s="175"/>
      <c r="D484" s="6"/>
      <c r="E484" s="10"/>
      <c r="F484" s="6"/>
      <c r="G484" s="20"/>
      <c r="H484" s="130"/>
      <c r="I484" s="95"/>
      <c r="J484" s="176"/>
      <c r="K484" s="161"/>
    </row>
    <row r="485" spans="1:11" ht="15">
      <c r="A485" s="46"/>
      <c r="B485" s="43"/>
      <c r="C485" s="171" t="s">
        <v>296</v>
      </c>
      <c r="D485" s="6"/>
      <c r="E485" s="10"/>
      <c r="F485" s="6"/>
      <c r="G485" s="20"/>
      <c r="H485" s="132"/>
      <c r="I485" s="17"/>
      <c r="J485" s="160"/>
      <c r="K485" s="161"/>
    </row>
    <row r="486" spans="1:11" ht="78.75">
      <c r="A486" s="46">
        <v>98</v>
      </c>
      <c r="B486" s="43"/>
      <c r="C486" s="54" t="s">
        <v>85</v>
      </c>
      <c r="D486" s="6">
        <v>1.4</v>
      </c>
      <c r="E486" s="10"/>
      <c r="F486" s="6">
        <v>2.4</v>
      </c>
      <c r="G486" s="20">
        <v>13</v>
      </c>
      <c r="H486" s="132">
        <f>D486*F486*G486</f>
        <v>43.68</v>
      </c>
      <c r="I486" s="17" t="s">
        <v>243</v>
      </c>
      <c r="J486" s="160">
        <v>310</v>
      </c>
      <c r="K486" s="161">
        <f>H486*J486</f>
        <v>13540.8</v>
      </c>
    </row>
    <row r="487" spans="1:11" ht="12.75">
      <c r="A487" s="46"/>
      <c r="B487" s="43"/>
      <c r="C487" s="175"/>
      <c r="D487" s="6"/>
      <c r="E487" s="10"/>
      <c r="F487" s="6"/>
      <c r="G487" s="20"/>
      <c r="H487" s="130"/>
      <c r="I487" s="95"/>
      <c r="J487" s="176"/>
      <c r="K487" s="161"/>
    </row>
    <row r="488" spans="1:11" ht="81" customHeight="1">
      <c r="A488" s="46">
        <v>99</v>
      </c>
      <c r="B488" s="43"/>
      <c r="C488" s="67" t="s">
        <v>156</v>
      </c>
      <c r="D488" s="5"/>
      <c r="E488" s="9"/>
      <c r="F488" s="5"/>
      <c r="G488" s="20"/>
      <c r="H488" s="132">
        <v>50</v>
      </c>
      <c r="I488" s="71" t="s">
        <v>303</v>
      </c>
      <c r="J488" s="3">
        <v>20</v>
      </c>
      <c r="K488" s="161">
        <f>H488*J488</f>
        <v>1000</v>
      </c>
    </row>
    <row r="489" spans="1:11" ht="12.75">
      <c r="A489" s="109"/>
      <c r="B489" s="189"/>
      <c r="C489" s="242"/>
      <c r="D489" s="177"/>
      <c r="E489" s="178"/>
      <c r="F489" s="177"/>
      <c r="G489" s="156"/>
      <c r="H489" s="157"/>
      <c r="I489" s="179"/>
      <c r="J489" s="261"/>
      <c r="K489" s="264"/>
    </row>
    <row r="490" spans="1:18" ht="303.75">
      <c r="A490" s="109">
        <v>100</v>
      </c>
      <c r="B490" s="43"/>
      <c r="C490" s="77" t="s">
        <v>328</v>
      </c>
      <c r="D490" s="5"/>
      <c r="E490" s="9"/>
      <c r="F490" s="5"/>
      <c r="G490" s="20"/>
      <c r="H490" s="15">
        <v>1</v>
      </c>
      <c r="I490" s="71" t="s">
        <v>230</v>
      </c>
      <c r="J490" s="3">
        <v>14900</v>
      </c>
      <c r="K490" s="59">
        <f>H490*J490</f>
        <v>14900</v>
      </c>
      <c r="L490" s="94"/>
      <c r="M490" s="73"/>
      <c r="N490" s="73"/>
      <c r="O490" s="73"/>
      <c r="P490" s="73"/>
      <c r="Q490" s="73"/>
      <c r="R490" s="73"/>
    </row>
    <row r="491" spans="1:11" ht="12.75">
      <c r="A491" s="46"/>
      <c r="B491" s="189"/>
      <c r="C491" s="242"/>
      <c r="D491" s="177"/>
      <c r="E491" s="178"/>
      <c r="F491" s="177"/>
      <c r="G491" s="156"/>
      <c r="H491" s="157"/>
      <c r="I491" s="179"/>
      <c r="J491" s="261"/>
      <c r="K491" s="262"/>
    </row>
    <row r="492" spans="1:19" ht="158.25" thickBot="1">
      <c r="A492" s="267">
        <v>101</v>
      </c>
      <c r="B492" s="235"/>
      <c r="C492" s="243" t="s">
        <v>89</v>
      </c>
      <c r="D492" s="74"/>
      <c r="E492" s="183"/>
      <c r="F492" s="74"/>
      <c r="G492" s="127"/>
      <c r="H492" s="35">
        <v>1</v>
      </c>
      <c r="I492" s="184" t="s">
        <v>234</v>
      </c>
      <c r="J492" s="266">
        <f>65*200+3*800+1300</f>
        <v>16700</v>
      </c>
      <c r="K492" s="233">
        <f>H492*J492</f>
        <v>16700</v>
      </c>
      <c r="L492" s="216"/>
      <c r="M492" s="73"/>
      <c r="N492" s="73"/>
      <c r="O492" s="73"/>
      <c r="P492" s="73"/>
      <c r="Q492" s="73"/>
      <c r="R492" s="73"/>
      <c r="S492" s="73"/>
    </row>
    <row r="493" spans="1:11" ht="31.5">
      <c r="A493" s="109"/>
      <c r="B493" s="110"/>
      <c r="C493" s="265" t="s">
        <v>263</v>
      </c>
      <c r="D493" s="164"/>
      <c r="E493" s="191"/>
      <c r="F493" s="164"/>
      <c r="G493" s="21"/>
      <c r="H493" s="130"/>
      <c r="I493" s="192"/>
      <c r="J493" s="76"/>
      <c r="K493" s="264"/>
    </row>
    <row r="494" spans="1:11" ht="22.5">
      <c r="A494" s="109">
        <v>102</v>
      </c>
      <c r="B494" s="110"/>
      <c r="C494" s="190" t="s">
        <v>264</v>
      </c>
      <c r="D494" s="164"/>
      <c r="E494" s="191"/>
      <c r="F494" s="164"/>
      <c r="G494" s="21">
        <v>1.2</v>
      </c>
      <c r="H494" s="130">
        <v>15</v>
      </c>
      <c r="I494" s="192" t="s">
        <v>251</v>
      </c>
      <c r="J494" s="193">
        <f>30*G494</f>
        <v>36</v>
      </c>
      <c r="K494" s="161">
        <f>H494*J494</f>
        <v>540</v>
      </c>
    </row>
    <row r="495" spans="1:11" ht="12.75">
      <c r="A495" s="109"/>
      <c r="B495" s="110"/>
      <c r="C495" s="190"/>
      <c r="D495" s="164"/>
      <c r="E495" s="191"/>
      <c r="F495" s="164"/>
      <c r="G495" s="21"/>
      <c r="H495" s="130"/>
      <c r="I495" s="192"/>
      <c r="J495" s="76"/>
      <c r="K495" s="161"/>
    </row>
    <row r="496" spans="1:11" ht="45">
      <c r="A496" s="109">
        <v>103</v>
      </c>
      <c r="B496" s="110"/>
      <c r="C496" s="190" t="s">
        <v>265</v>
      </c>
      <c r="D496" s="164"/>
      <c r="E496" s="191"/>
      <c r="F496" s="164"/>
      <c r="G496" s="21">
        <v>1.2</v>
      </c>
      <c r="H496" s="130">
        <v>54</v>
      </c>
      <c r="I496" s="192" t="s">
        <v>251</v>
      </c>
      <c r="J496" s="193">
        <v>200</v>
      </c>
      <c r="K496" s="161">
        <f>H496*J496</f>
        <v>10800</v>
      </c>
    </row>
    <row r="497" spans="1:11" ht="12.75">
      <c r="A497" s="109"/>
      <c r="B497" s="110"/>
      <c r="C497" s="190"/>
      <c r="D497" s="164"/>
      <c r="E497" s="191"/>
      <c r="F497" s="164"/>
      <c r="G497" s="21"/>
      <c r="H497" s="130"/>
      <c r="I497" s="192"/>
      <c r="J497" s="193"/>
      <c r="K497" s="194"/>
    </row>
    <row r="498" spans="1:11" ht="39.75" customHeight="1">
      <c r="A498" s="109">
        <v>104</v>
      </c>
      <c r="B498" s="110"/>
      <c r="C498" s="190" t="s">
        <v>266</v>
      </c>
      <c r="D498" s="164"/>
      <c r="E498" s="191"/>
      <c r="F498" s="164"/>
      <c r="G498" s="21">
        <v>1.2</v>
      </c>
      <c r="H498" s="130">
        <v>20</v>
      </c>
      <c r="I498" s="192" t="s">
        <v>251</v>
      </c>
      <c r="J498" s="193">
        <v>200</v>
      </c>
      <c r="K498" s="161">
        <f>H498*J498</f>
        <v>4000</v>
      </c>
    </row>
    <row r="499" spans="1:11" ht="12.75">
      <c r="A499" s="109"/>
      <c r="B499" s="110"/>
      <c r="C499" s="190"/>
      <c r="D499" s="164"/>
      <c r="E499" s="191"/>
      <c r="F499" s="164"/>
      <c r="G499" s="21"/>
      <c r="H499" s="130"/>
      <c r="I499" s="192"/>
      <c r="J499" s="193"/>
      <c r="K499" s="161"/>
    </row>
    <row r="500" spans="1:11" ht="68.25" customHeight="1">
      <c r="A500" s="109">
        <v>105</v>
      </c>
      <c r="B500" s="110"/>
      <c r="C500" s="190" t="s">
        <v>159</v>
      </c>
      <c r="D500" s="196">
        <v>54</v>
      </c>
      <c r="E500" s="191"/>
      <c r="F500" s="164"/>
      <c r="G500" s="21">
        <v>1.2</v>
      </c>
      <c r="H500" s="199">
        <v>12</v>
      </c>
      <c r="I500" s="192" t="s">
        <v>251</v>
      </c>
      <c r="J500" s="193">
        <v>15</v>
      </c>
      <c r="K500" s="161">
        <f>H500*J500*G500*D500</f>
        <v>11664</v>
      </c>
    </row>
    <row r="501" spans="1:11" ht="12.75">
      <c r="A501" s="109"/>
      <c r="B501" s="110"/>
      <c r="C501" s="190"/>
      <c r="D501" s="195"/>
      <c r="E501" s="191"/>
      <c r="F501" s="164"/>
      <c r="G501" s="21"/>
      <c r="H501" s="130"/>
      <c r="I501" s="192"/>
      <c r="J501" s="193"/>
      <c r="K501" s="161"/>
    </row>
    <row r="502" spans="1:11" ht="33.75">
      <c r="A502" s="109">
        <v>106</v>
      </c>
      <c r="B502" s="110"/>
      <c r="C502" s="190" t="s">
        <v>158</v>
      </c>
      <c r="D502" s="195"/>
      <c r="E502" s="191"/>
      <c r="F502" s="164"/>
      <c r="G502" s="21"/>
      <c r="H502" s="130"/>
      <c r="I502" s="192"/>
      <c r="J502" s="193"/>
      <c r="K502" s="161"/>
    </row>
    <row r="503" spans="1:11" ht="12.75">
      <c r="A503" s="109"/>
      <c r="B503" s="110"/>
      <c r="C503" s="190" t="s">
        <v>115</v>
      </c>
      <c r="D503" s="195"/>
      <c r="E503" s="191"/>
      <c r="F503" s="164"/>
      <c r="G503" s="21"/>
      <c r="H503" s="199">
        <v>24</v>
      </c>
      <c r="I503" s="192"/>
      <c r="J503" s="193"/>
      <c r="K503" s="161"/>
    </row>
    <row r="504" spans="1:11" ht="13.5" thickBot="1">
      <c r="A504" s="109"/>
      <c r="B504" s="110"/>
      <c r="C504" s="190" t="s">
        <v>253</v>
      </c>
      <c r="D504" s="195"/>
      <c r="E504" s="191"/>
      <c r="F504" s="164"/>
      <c r="G504" s="21"/>
      <c r="H504" s="200">
        <v>30</v>
      </c>
      <c r="I504" s="192"/>
      <c r="J504" s="193"/>
      <c r="K504" s="161"/>
    </row>
    <row r="505" spans="1:11" ht="12.75">
      <c r="A505" s="109"/>
      <c r="B505" s="110"/>
      <c r="C505" s="190"/>
      <c r="D505" s="195"/>
      <c r="E505" s="191"/>
      <c r="F505" s="164"/>
      <c r="G505" s="21">
        <v>1.2</v>
      </c>
      <c r="H505" s="199">
        <f>SUM(H503:H504)</f>
        <v>54</v>
      </c>
      <c r="I505" s="192" t="s">
        <v>81</v>
      </c>
      <c r="J505" s="193">
        <f>40*G505</f>
        <v>48</v>
      </c>
      <c r="K505" s="161">
        <f>H505*J505</f>
        <v>2592</v>
      </c>
    </row>
    <row r="506" spans="1:11" ht="12.75">
      <c r="A506" s="109"/>
      <c r="B506" s="110"/>
      <c r="C506" s="190"/>
      <c r="D506" s="164"/>
      <c r="E506" s="191"/>
      <c r="F506" s="164"/>
      <c r="G506" s="21"/>
      <c r="H506" s="130"/>
      <c r="I506" s="192"/>
      <c r="J506" s="193"/>
      <c r="K506" s="161"/>
    </row>
    <row r="507" spans="1:11" ht="22.5">
      <c r="A507" s="109">
        <v>107</v>
      </c>
      <c r="B507" s="110"/>
      <c r="C507" s="190" t="s">
        <v>267</v>
      </c>
      <c r="D507" s="164"/>
      <c r="E507" s="191"/>
      <c r="F507" s="164"/>
      <c r="G507" s="21">
        <v>1.2</v>
      </c>
      <c r="H507" s="130">
        <v>15</v>
      </c>
      <c r="I507" s="192" t="s">
        <v>251</v>
      </c>
      <c r="J507" s="193">
        <f>100*G507</f>
        <v>120</v>
      </c>
      <c r="K507" s="161">
        <f>H507*J507</f>
        <v>1800</v>
      </c>
    </row>
    <row r="508" spans="1:11" ht="12.75">
      <c r="A508" s="109"/>
      <c r="B508" s="110"/>
      <c r="C508" s="190"/>
      <c r="D508" s="164"/>
      <c r="E508" s="191"/>
      <c r="F508" s="164"/>
      <c r="G508" s="21"/>
      <c r="H508" s="130"/>
      <c r="I508" s="192"/>
      <c r="J508" s="76"/>
      <c r="K508" s="161"/>
    </row>
    <row r="509" spans="1:12" ht="56.25">
      <c r="A509" s="109">
        <v>108</v>
      </c>
      <c r="B509" s="110"/>
      <c r="C509" s="190" t="s">
        <v>157</v>
      </c>
      <c r="D509" s="164"/>
      <c r="E509" s="191"/>
      <c r="F509" s="164"/>
      <c r="G509" s="21">
        <v>1.2</v>
      </c>
      <c r="H509" s="130">
        <v>10</v>
      </c>
      <c r="I509" s="192" t="s">
        <v>251</v>
      </c>
      <c r="J509" s="193">
        <f>200*G509</f>
        <v>240</v>
      </c>
      <c r="K509" s="161">
        <f>H509*J509</f>
        <v>2400</v>
      </c>
      <c r="L509" s="73"/>
    </row>
    <row r="510" spans="1:11" ht="12.75">
      <c r="A510" s="109"/>
      <c r="B510" s="110"/>
      <c r="C510" s="190"/>
      <c r="D510" s="164"/>
      <c r="E510" s="191"/>
      <c r="F510" s="164"/>
      <c r="G510" s="21"/>
      <c r="H510" s="130"/>
      <c r="I510" s="192"/>
      <c r="J510" s="193"/>
      <c r="K510" s="161"/>
    </row>
    <row r="511" spans="1:11" ht="56.25">
      <c r="A511" s="109">
        <v>109</v>
      </c>
      <c r="B511" s="110"/>
      <c r="C511" s="190" t="s">
        <v>268</v>
      </c>
      <c r="D511" s="164"/>
      <c r="E511" s="191"/>
      <c r="F511" s="164"/>
      <c r="G511" s="21"/>
      <c r="H511" s="130"/>
      <c r="I511" s="192"/>
      <c r="J511" s="193"/>
      <c r="K511" s="161"/>
    </row>
    <row r="512" spans="1:11" ht="12.75">
      <c r="A512" s="109"/>
      <c r="B512" s="110"/>
      <c r="C512" s="190" t="s">
        <v>270</v>
      </c>
      <c r="D512" s="164"/>
      <c r="E512" s="191"/>
      <c r="F512" s="197">
        <v>38</v>
      </c>
      <c r="G512" s="21"/>
      <c r="H512" s="130"/>
      <c r="I512" s="192"/>
      <c r="J512" s="193"/>
      <c r="K512" s="161"/>
    </row>
    <row r="513" spans="1:11" ht="23.25" thickBot="1">
      <c r="A513" s="109"/>
      <c r="B513" s="110"/>
      <c r="C513" s="190" t="s">
        <v>269</v>
      </c>
      <c r="D513" s="164"/>
      <c r="E513" s="191"/>
      <c r="F513" s="198">
        <v>15</v>
      </c>
      <c r="G513" s="21"/>
      <c r="H513" s="130"/>
      <c r="I513" s="192"/>
      <c r="J513" s="193"/>
      <c r="K513" s="161"/>
    </row>
    <row r="514" spans="1:11" ht="12.75">
      <c r="A514" s="109"/>
      <c r="B514" s="110"/>
      <c r="C514" s="190"/>
      <c r="D514" s="164"/>
      <c r="E514" s="191"/>
      <c r="F514" s="197">
        <f>SUM(F512:F513)</f>
        <v>53</v>
      </c>
      <c r="G514" s="21">
        <v>1.2</v>
      </c>
      <c r="H514" s="130">
        <f>F514</f>
        <v>53</v>
      </c>
      <c r="I514" s="192" t="s">
        <v>251</v>
      </c>
      <c r="J514" s="193">
        <f>200*G514</f>
        <v>240</v>
      </c>
      <c r="K514" s="161">
        <f>H514*J514</f>
        <v>12720</v>
      </c>
    </row>
    <row r="515" spans="1:11" ht="12.75">
      <c r="A515" s="109"/>
      <c r="B515" s="110"/>
      <c r="C515" s="190"/>
      <c r="D515" s="164"/>
      <c r="E515" s="191"/>
      <c r="F515" s="164"/>
      <c r="G515" s="21"/>
      <c r="H515" s="130"/>
      <c r="I515" s="192"/>
      <c r="J515" s="193"/>
      <c r="K515" s="161"/>
    </row>
    <row r="516" spans="1:11" ht="90">
      <c r="A516" s="46">
        <v>110</v>
      </c>
      <c r="B516" s="43"/>
      <c r="C516" s="77" t="s">
        <v>147</v>
      </c>
      <c r="D516" s="5"/>
      <c r="E516" s="9"/>
      <c r="F516" s="5"/>
      <c r="G516" s="20"/>
      <c r="H516" s="24"/>
      <c r="I516" s="71"/>
      <c r="J516" s="60"/>
      <c r="K516" s="59"/>
    </row>
    <row r="517" spans="1:11" ht="12.75">
      <c r="A517" s="46"/>
      <c r="B517" s="43"/>
      <c r="C517" s="77" t="s">
        <v>117</v>
      </c>
      <c r="D517" s="5"/>
      <c r="E517" s="9"/>
      <c r="F517" s="5"/>
      <c r="G517" s="20">
        <v>11</v>
      </c>
      <c r="H517" s="15">
        <v>8</v>
      </c>
      <c r="I517" s="71" t="s">
        <v>230</v>
      </c>
      <c r="J517" s="60"/>
      <c r="K517" s="59"/>
    </row>
    <row r="518" spans="1:11" ht="13.5" thickBot="1">
      <c r="A518" s="46"/>
      <c r="B518" s="43"/>
      <c r="C518" s="77" t="s">
        <v>253</v>
      </c>
      <c r="D518" s="5"/>
      <c r="E518" s="9"/>
      <c r="F518" s="5"/>
      <c r="G518" s="20">
        <v>19</v>
      </c>
      <c r="H518" s="35">
        <v>11</v>
      </c>
      <c r="I518" s="71" t="s">
        <v>230</v>
      </c>
      <c r="J518" s="60"/>
      <c r="K518" s="59"/>
    </row>
    <row r="519" spans="1:11" ht="12.75">
      <c r="A519" s="46"/>
      <c r="B519" s="43"/>
      <c r="C519" s="77"/>
      <c r="D519" s="5"/>
      <c r="E519" s="9"/>
      <c r="F519" s="5"/>
      <c r="G519" s="20"/>
      <c r="H519" s="24">
        <f>SUM(H517:H518)</f>
        <v>19</v>
      </c>
      <c r="I519" s="71" t="s">
        <v>230</v>
      </c>
      <c r="J519" s="60">
        <v>550</v>
      </c>
      <c r="K519" s="59">
        <f>H519*J519</f>
        <v>10450</v>
      </c>
    </row>
    <row r="520" spans="1:11" ht="12.75">
      <c r="A520" s="109"/>
      <c r="B520" s="110"/>
      <c r="C520" s="190"/>
      <c r="D520" s="164"/>
      <c r="E520" s="191"/>
      <c r="F520" s="164"/>
      <c r="G520" s="21"/>
      <c r="H520" s="130"/>
      <c r="I520" s="192"/>
      <c r="J520" s="76"/>
      <c r="K520" s="161"/>
    </row>
    <row r="521" spans="1:11" ht="56.25">
      <c r="A521" s="109">
        <v>111</v>
      </c>
      <c r="B521" s="110"/>
      <c r="C521" s="190" t="s">
        <v>56</v>
      </c>
      <c r="D521" s="164"/>
      <c r="E521" s="191"/>
      <c r="F521" s="164"/>
      <c r="G521" s="21"/>
      <c r="H521" s="130">
        <v>1</v>
      </c>
      <c r="I521" s="192" t="s">
        <v>251</v>
      </c>
      <c r="J521" s="76">
        <v>8000</v>
      </c>
      <c r="K521" s="161">
        <f>H521*J521</f>
        <v>8000</v>
      </c>
    </row>
    <row r="522" spans="1:11" ht="12.75">
      <c r="A522" s="109"/>
      <c r="B522" s="110"/>
      <c r="C522" s="190"/>
      <c r="D522" s="164"/>
      <c r="E522" s="191"/>
      <c r="F522" s="164"/>
      <c r="G522" s="21"/>
      <c r="H522" s="130"/>
      <c r="I522" s="192"/>
      <c r="J522" s="76"/>
      <c r="K522" s="180"/>
    </row>
    <row r="523" spans="1:12" ht="57" thickBot="1">
      <c r="A523" s="212">
        <v>112</v>
      </c>
      <c r="B523" s="181"/>
      <c r="C523" s="182" t="s">
        <v>57</v>
      </c>
      <c r="D523" s="74"/>
      <c r="E523" s="183"/>
      <c r="F523" s="74"/>
      <c r="G523" s="127"/>
      <c r="H523" s="133">
        <v>1</v>
      </c>
      <c r="I523" s="184" t="s">
        <v>251</v>
      </c>
      <c r="J523" s="185">
        <v>4000</v>
      </c>
      <c r="K523" s="186">
        <f>H523*J523</f>
        <v>4000</v>
      </c>
      <c r="L523" s="216"/>
    </row>
    <row r="524" spans="1:11" ht="18">
      <c r="A524" s="263"/>
      <c r="B524" s="279"/>
      <c r="C524" s="280"/>
      <c r="D524" s="281"/>
      <c r="E524" s="282"/>
      <c r="F524" s="281"/>
      <c r="G524" s="283"/>
      <c r="H524" s="284"/>
      <c r="I524" s="285"/>
      <c r="J524" s="286"/>
      <c r="K524" s="287"/>
    </row>
    <row r="525" spans="1:11" ht="56.25">
      <c r="A525" s="109">
        <v>113</v>
      </c>
      <c r="B525" s="110"/>
      <c r="C525" s="203" t="s">
        <v>160</v>
      </c>
      <c r="D525" s="164"/>
      <c r="E525" s="191"/>
      <c r="F525" s="164"/>
      <c r="G525" s="21">
        <v>1.15</v>
      </c>
      <c r="H525" s="130">
        <v>550</v>
      </c>
      <c r="I525" s="112" t="s">
        <v>243</v>
      </c>
      <c r="J525" s="201">
        <f>(119-36)*G525</f>
        <v>95.44999999999999</v>
      </c>
      <c r="K525" s="180"/>
    </row>
    <row r="526" spans="1:11" ht="13.5" thickBot="1">
      <c r="A526" s="46"/>
      <c r="B526" s="43"/>
      <c r="C526" s="203"/>
      <c r="D526" s="164"/>
      <c r="E526" s="191"/>
      <c r="F526" s="164"/>
      <c r="G526" s="21">
        <v>1.15</v>
      </c>
      <c r="H526" s="133">
        <v>484.85</v>
      </c>
      <c r="I526" s="112" t="s">
        <v>243</v>
      </c>
      <c r="J526" s="201"/>
      <c r="K526" s="180"/>
    </row>
    <row r="527" spans="1:11" ht="12.75">
      <c r="A527" s="46"/>
      <c r="B527" s="43"/>
      <c r="C527" s="203"/>
      <c r="D527" s="164"/>
      <c r="E527" s="191"/>
      <c r="F527" s="164"/>
      <c r="G527" s="21"/>
      <c r="H527" s="130">
        <f>SUM(H525:H526)</f>
        <v>1034.85</v>
      </c>
      <c r="I527" s="112" t="s">
        <v>243</v>
      </c>
      <c r="J527" s="201">
        <v>95.45</v>
      </c>
      <c r="K527" s="180">
        <f>H527*J527</f>
        <v>98776.4325</v>
      </c>
    </row>
    <row r="528" spans="1:11" ht="12.75">
      <c r="A528" s="46"/>
      <c r="B528" s="43"/>
      <c r="C528" s="202"/>
      <c r="D528" s="5"/>
      <c r="E528" s="9"/>
      <c r="F528" s="5"/>
      <c r="G528" s="20"/>
      <c r="H528" s="132"/>
      <c r="I528" s="17"/>
      <c r="J528" s="160"/>
      <c r="K528" s="161"/>
    </row>
    <row r="529" spans="1:11" ht="78.75">
      <c r="A529" s="46">
        <v>114</v>
      </c>
      <c r="B529" s="43"/>
      <c r="C529" s="202" t="s">
        <v>153</v>
      </c>
      <c r="D529" s="5">
        <v>880</v>
      </c>
      <c r="E529" s="9"/>
      <c r="F529" s="5"/>
      <c r="G529" s="20"/>
      <c r="H529" s="132">
        <v>1.15</v>
      </c>
      <c r="I529" s="17" t="s">
        <v>63</v>
      </c>
      <c r="J529" s="160">
        <f>160*H529</f>
        <v>184</v>
      </c>
      <c r="K529" s="161">
        <f>J529*D529</f>
        <v>161920</v>
      </c>
    </row>
    <row r="530" spans="1:11" ht="12.75">
      <c r="A530" s="46"/>
      <c r="B530" s="43"/>
      <c r="C530" s="202"/>
      <c r="D530" s="5"/>
      <c r="E530" s="9"/>
      <c r="F530" s="5"/>
      <c r="G530" s="20"/>
      <c r="H530" s="132"/>
      <c r="I530" s="17"/>
      <c r="J530" s="160"/>
      <c r="K530" s="161"/>
    </row>
    <row r="531" spans="1:11" ht="22.5">
      <c r="A531" s="46">
        <v>115</v>
      </c>
      <c r="B531" s="43"/>
      <c r="C531" s="202" t="s">
        <v>161</v>
      </c>
      <c r="D531" s="5">
        <v>100</v>
      </c>
      <c r="E531" s="9"/>
      <c r="F531" s="5"/>
      <c r="G531" s="20"/>
      <c r="H531" s="132">
        <v>1.15</v>
      </c>
      <c r="I531" s="17" t="s">
        <v>63</v>
      </c>
      <c r="J531" s="160">
        <f>230*H531</f>
        <v>264.5</v>
      </c>
      <c r="K531" s="161">
        <f>J531*D531</f>
        <v>26450</v>
      </c>
    </row>
    <row r="532" spans="1:11" ht="12.75">
      <c r="A532" s="46"/>
      <c r="B532" s="43"/>
      <c r="C532" s="202"/>
      <c r="D532" s="5"/>
      <c r="E532" s="9"/>
      <c r="F532" s="5"/>
      <c r="G532" s="20"/>
      <c r="H532" s="132"/>
      <c r="I532" s="17"/>
      <c r="J532" s="160"/>
      <c r="K532" s="161"/>
    </row>
    <row r="533" spans="1:11" ht="56.25">
      <c r="A533" s="46">
        <v>116</v>
      </c>
      <c r="B533" s="43"/>
      <c r="C533" s="202" t="s">
        <v>149</v>
      </c>
      <c r="D533" s="5"/>
      <c r="E533" s="9"/>
      <c r="F533" s="5"/>
      <c r="G533" s="20"/>
      <c r="H533" s="132">
        <v>1</v>
      </c>
      <c r="I533" s="17" t="s">
        <v>234</v>
      </c>
      <c r="J533" s="160">
        <v>3500</v>
      </c>
      <c r="K533" s="161">
        <f>J533*H533</f>
        <v>3500</v>
      </c>
    </row>
    <row r="534" spans="1:11" ht="12.75">
      <c r="A534" s="46"/>
      <c r="B534" s="43"/>
      <c r="C534" s="202"/>
      <c r="D534" s="5"/>
      <c r="E534" s="9"/>
      <c r="F534" s="5"/>
      <c r="G534" s="20"/>
      <c r="H534" s="132"/>
      <c r="I534" s="17"/>
      <c r="J534" s="160"/>
      <c r="K534" s="161"/>
    </row>
    <row r="535" spans="1:12" ht="25.5" customHeight="1" thickBot="1">
      <c r="A535" s="212">
        <v>117</v>
      </c>
      <c r="B535" s="181"/>
      <c r="C535" s="245" t="s">
        <v>150</v>
      </c>
      <c r="D535" s="74"/>
      <c r="E535" s="183"/>
      <c r="F535" s="74"/>
      <c r="G535" s="127"/>
      <c r="H535" s="133">
        <v>1034.85</v>
      </c>
      <c r="I535" s="128" t="s">
        <v>243</v>
      </c>
      <c r="J535" s="244">
        <v>12</v>
      </c>
      <c r="K535" s="186">
        <f>J535*H535</f>
        <v>12418.199999999999</v>
      </c>
      <c r="L535" s="216"/>
    </row>
    <row r="536" spans="1:13" ht="12.75">
      <c r="A536" s="109"/>
      <c r="B536" s="234"/>
      <c r="C536" s="242"/>
      <c r="D536" s="177"/>
      <c r="E536" s="178"/>
      <c r="F536" s="177"/>
      <c r="G536" s="21"/>
      <c r="H536" s="130"/>
      <c r="I536" s="153"/>
      <c r="J536" s="269"/>
      <c r="K536" s="180"/>
      <c r="L536"/>
      <c r="M536" s="205"/>
    </row>
    <row r="537" spans="1:11" ht="78.75">
      <c r="A537" s="46">
        <v>118</v>
      </c>
      <c r="B537" s="43"/>
      <c r="C537" s="70" t="s">
        <v>290</v>
      </c>
      <c r="D537" s="6">
        <v>130</v>
      </c>
      <c r="E537" s="10"/>
      <c r="F537" s="6"/>
      <c r="G537" s="20">
        <v>1.15</v>
      </c>
      <c r="H537" s="15">
        <v>130</v>
      </c>
      <c r="I537" s="80" t="s">
        <v>63</v>
      </c>
      <c r="J537" s="72">
        <f>G537*20</f>
        <v>23</v>
      </c>
      <c r="K537" s="161">
        <f>J537*H537</f>
        <v>2990</v>
      </c>
    </row>
    <row r="538" spans="1:11" ht="15.75">
      <c r="A538" s="46"/>
      <c r="B538" s="43"/>
      <c r="C538" s="170"/>
      <c r="D538" s="6"/>
      <c r="E538" s="10"/>
      <c r="F538" s="6"/>
      <c r="G538" s="20"/>
      <c r="H538" s="15"/>
      <c r="I538" s="80"/>
      <c r="J538" s="72"/>
      <c r="K538" s="161"/>
    </row>
    <row r="539" spans="1:11" ht="45">
      <c r="A539" s="46">
        <v>119</v>
      </c>
      <c r="B539" s="43"/>
      <c r="C539" s="70" t="s">
        <v>291</v>
      </c>
      <c r="D539" s="6"/>
      <c r="E539" s="10"/>
      <c r="F539" s="6"/>
      <c r="G539" s="20">
        <v>1.15</v>
      </c>
      <c r="H539" s="132">
        <v>1</v>
      </c>
      <c r="I539" s="80" t="s">
        <v>234</v>
      </c>
      <c r="J539" s="72">
        <v>700</v>
      </c>
      <c r="K539" s="161">
        <f>J539*H539</f>
        <v>700</v>
      </c>
    </row>
    <row r="540" spans="1:11" ht="12.75">
      <c r="A540" s="46"/>
      <c r="B540" s="43"/>
      <c r="C540" s="122"/>
      <c r="D540" s="6"/>
      <c r="E540" s="10"/>
      <c r="F540" s="6"/>
      <c r="G540" s="20"/>
      <c r="H540" s="132"/>
      <c r="I540" s="80"/>
      <c r="J540" s="72"/>
      <c r="K540" s="161"/>
    </row>
    <row r="541" spans="1:11" ht="45">
      <c r="A541" s="46">
        <v>120</v>
      </c>
      <c r="B541" s="43"/>
      <c r="C541" s="70" t="s">
        <v>292</v>
      </c>
      <c r="D541" s="6"/>
      <c r="E541" s="10"/>
      <c r="F541" s="6"/>
      <c r="G541" s="20">
        <v>1.15</v>
      </c>
      <c r="H541" s="132">
        <v>45</v>
      </c>
      <c r="I541" s="80" t="s">
        <v>293</v>
      </c>
      <c r="J541" s="72">
        <f>55*G541</f>
        <v>63.24999999999999</v>
      </c>
      <c r="K541" s="161">
        <v>2846</v>
      </c>
    </row>
    <row r="542" spans="1:11" ht="12.75">
      <c r="A542" s="46"/>
      <c r="B542" s="43"/>
      <c r="C542" s="122"/>
      <c r="D542" s="6"/>
      <c r="E542" s="10"/>
      <c r="F542" s="6"/>
      <c r="G542" s="20"/>
      <c r="H542" s="132"/>
      <c r="I542" s="80"/>
      <c r="J542" s="72"/>
      <c r="K542" s="161"/>
    </row>
    <row r="543" spans="1:11" ht="45">
      <c r="A543" s="46">
        <v>121</v>
      </c>
      <c r="B543" s="43"/>
      <c r="C543" s="70" t="s">
        <v>294</v>
      </c>
      <c r="D543" s="6"/>
      <c r="E543" s="10"/>
      <c r="F543" s="6"/>
      <c r="G543" s="20"/>
      <c r="H543" s="132">
        <v>5</v>
      </c>
      <c r="I543" s="80" t="s">
        <v>251</v>
      </c>
      <c r="J543" s="72">
        <v>322</v>
      </c>
      <c r="K543" s="161">
        <f>J543*H543</f>
        <v>1610</v>
      </c>
    </row>
    <row r="544" spans="1:11" ht="12.75">
      <c r="A544" s="46"/>
      <c r="B544" s="43"/>
      <c r="C544" s="122"/>
      <c r="D544" s="6"/>
      <c r="E544" s="10"/>
      <c r="F544" s="6"/>
      <c r="G544" s="20"/>
      <c r="H544" s="132"/>
      <c r="I544" s="80"/>
      <c r="J544" s="72"/>
      <c r="K544" s="161"/>
    </row>
    <row r="545" spans="1:11" ht="78.75">
      <c r="A545" s="46">
        <v>122</v>
      </c>
      <c r="B545" s="43"/>
      <c r="C545" s="70" t="s">
        <v>295</v>
      </c>
      <c r="D545" s="6"/>
      <c r="E545" s="10"/>
      <c r="F545" s="6"/>
      <c r="G545" s="20"/>
      <c r="H545" s="132">
        <v>1</v>
      </c>
      <c r="I545" s="80" t="s">
        <v>234</v>
      </c>
      <c r="J545" s="72">
        <v>1500</v>
      </c>
      <c r="K545" s="161">
        <f>J545*H545</f>
        <v>1500</v>
      </c>
    </row>
    <row r="546" spans="1:11" ht="12.75">
      <c r="A546" s="46"/>
      <c r="B546" s="43"/>
      <c r="C546" s="70"/>
      <c r="D546" s="6"/>
      <c r="E546" s="10"/>
      <c r="F546" s="6"/>
      <c r="G546" s="20"/>
      <c r="H546" s="132"/>
      <c r="I546" s="80"/>
      <c r="J546" s="72"/>
      <c r="K546" s="161"/>
    </row>
    <row r="547" spans="1:12" ht="57" thickBot="1">
      <c r="A547" s="212">
        <v>123</v>
      </c>
      <c r="B547" s="181"/>
      <c r="C547" s="236" t="s">
        <v>329</v>
      </c>
      <c r="D547" s="126"/>
      <c r="E547" s="127"/>
      <c r="F547" s="126"/>
      <c r="G547" s="127"/>
      <c r="H547" s="35">
        <v>4</v>
      </c>
      <c r="I547" s="128" t="s">
        <v>251</v>
      </c>
      <c r="J547" s="244">
        <v>4125</v>
      </c>
      <c r="K547" s="186">
        <v>16500</v>
      </c>
      <c r="L547" s="216"/>
    </row>
    <row r="548" spans="1:11" ht="12.75">
      <c r="A548" s="109"/>
      <c r="B548" s="110"/>
      <c r="C548" s="288"/>
      <c r="D548" s="164"/>
      <c r="E548" s="191"/>
      <c r="F548" s="164"/>
      <c r="G548" s="21"/>
      <c r="H548" s="130"/>
      <c r="I548" s="192"/>
      <c r="J548" s="201"/>
      <c r="K548" s="180"/>
    </row>
    <row r="549" spans="1:11" s="73" customFormat="1" ht="46.5" customHeight="1">
      <c r="A549" s="46">
        <v>124</v>
      </c>
      <c r="B549" s="43"/>
      <c r="C549" s="270" t="s">
        <v>272</v>
      </c>
      <c r="D549" s="5"/>
      <c r="E549" s="9"/>
      <c r="F549" s="5"/>
      <c r="G549" s="20"/>
      <c r="H549" s="132">
        <v>1</v>
      </c>
      <c r="I549" s="71" t="s">
        <v>251</v>
      </c>
      <c r="J549" s="160">
        <v>34067.91</v>
      </c>
      <c r="K549" s="161">
        <v>34067.91</v>
      </c>
    </row>
    <row r="550" spans="1:11" s="73" customFormat="1" ht="12.75">
      <c r="A550" s="46"/>
      <c r="B550" s="43"/>
      <c r="C550" s="270"/>
      <c r="D550" s="5"/>
      <c r="E550" s="9"/>
      <c r="F550" s="5"/>
      <c r="G550" s="20"/>
      <c r="H550" s="132"/>
      <c r="I550" s="71"/>
      <c r="J550" s="160"/>
      <c r="K550" s="161"/>
    </row>
    <row r="551" spans="1:11" s="73" customFormat="1" ht="46.5" customHeight="1">
      <c r="A551" s="46">
        <f>A549+1</f>
        <v>125</v>
      </c>
      <c r="B551" s="43"/>
      <c r="C551" s="202" t="s">
        <v>273</v>
      </c>
      <c r="D551" s="5"/>
      <c r="E551" s="9"/>
      <c r="F551" s="5"/>
      <c r="G551" s="20"/>
      <c r="H551" s="132">
        <v>1</v>
      </c>
      <c r="I551" s="71" t="s">
        <v>251</v>
      </c>
      <c r="J551" s="160">
        <v>142.77</v>
      </c>
      <c r="K551" s="161">
        <v>142.77</v>
      </c>
    </row>
    <row r="552" spans="1:11" s="73" customFormat="1" ht="12.75">
      <c r="A552" s="109"/>
      <c r="B552" s="43"/>
      <c r="C552" s="202"/>
      <c r="D552" s="5"/>
      <c r="E552" s="9"/>
      <c r="F552" s="5"/>
      <c r="G552" s="20"/>
      <c r="H552" s="132"/>
      <c r="I552" s="71"/>
      <c r="J552" s="160"/>
      <c r="K552" s="161"/>
    </row>
    <row r="553" spans="1:11" s="73" customFormat="1" ht="46.5" customHeight="1">
      <c r="A553" s="109">
        <f>A551+1</f>
        <v>126</v>
      </c>
      <c r="B553" s="43"/>
      <c r="C553" s="202" t="s">
        <v>278</v>
      </c>
      <c r="D553" s="5"/>
      <c r="E553" s="9"/>
      <c r="F553" s="5"/>
      <c r="G553" s="20"/>
      <c r="H553" s="132">
        <v>1</v>
      </c>
      <c r="I553" s="71" t="s">
        <v>234</v>
      </c>
      <c r="J553" s="160">
        <v>37919.09</v>
      </c>
      <c r="K553" s="161">
        <v>37919.09</v>
      </c>
    </row>
    <row r="554" spans="1:11" s="73" customFormat="1" ht="12.75">
      <c r="A554" s="109"/>
      <c r="B554" s="43"/>
      <c r="C554" s="202"/>
      <c r="D554" s="5"/>
      <c r="E554" s="9"/>
      <c r="F554" s="5"/>
      <c r="G554" s="20"/>
      <c r="H554" s="132"/>
      <c r="I554" s="71"/>
      <c r="J554" s="160"/>
      <c r="K554" s="161"/>
    </row>
    <row r="555" spans="1:11" s="73" customFormat="1" ht="46.5" customHeight="1">
      <c r="A555" s="109">
        <f>A553+1</f>
        <v>127</v>
      </c>
      <c r="B555" s="43"/>
      <c r="C555" s="202" t="s">
        <v>274</v>
      </c>
      <c r="D555" s="5"/>
      <c r="E555" s="9"/>
      <c r="F555" s="5"/>
      <c r="G555" s="20"/>
      <c r="H555" s="132">
        <v>35</v>
      </c>
      <c r="I555" s="71" t="s">
        <v>251</v>
      </c>
      <c r="J555" s="160">
        <v>222.46</v>
      </c>
      <c r="K555" s="161">
        <v>7786.1</v>
      </c>
    </row>
    <row r="556" spans="1:11" s="73" customFormat="1" ht="12.75">
      <c r="A556" s="109"/>
      <c r="B556" s="43"/>
      <c r="C556" s="202"/>
      <c r="D556" s="5"/>
      <c r="E556" s="9"/>
      <c r="F556" s="5"/>
      <c r="G556" s="20"/>
      <c r="H556" s="132"/>
      <c r="I556" s="71"/>
      <c r="J556" s="160"/>
      <c r="K556" s="161"/>
    </row>
    <row r="557" spans="1:11" s="73" customFormat="1" ht="46.5" customHeight="1">
      <c r="A557" s="109">
        <f>A555+1</f>
        <v>128</v>
      </c>
      <c r="B557" s="43"/>
      <c r="C557" s="258" t="s">
        <v>281</v>
      </c>
      <c r="D557" s="5"/>
      <c r="E557" s="9"/>
      <c r="F557" s="5"/>
      <c r="G557" s="20"/>
      <c r="H557" s="132">
        <v>32</v>
      </c>
      <c r="I557" s="71" t="s">
        <v>251</v>
      </c>
      <c r="J557" s="160">
        <v>119.52</v>
      </c>
      <c r="K557" s="161">
        <v>3824.64</v>
      </c>
    </row>
    <row r="558" spans="1:11" s="73" customFormat="1" ht="12.75">
      <c r="A558" s="109"/>
      <c r="B558" s="43"/>
      <c r="C558" s="271"/>
      <c r="D558" s="5"/>
      <c r="E558" s="9"/>
      <c r="F558" s="5"/>
      <c r="G558" s="20"/>
      <c r="H558" s="132"/>
      <c r="I558" s="71"/>
      <c r="J558" s="160"/>
      <c r="K558" s="161"/>
    </row>
    <row r="559" spans="1:11" s="73" customFormat="1" ht="46.5" customHeight="1">
      <c r="A559" s="109">
        <f>A557+1</f>
        <v>129</v>
      </c>
      <c r="B559" s="43"/>
      <c r="C559" s="259" t="s">
        <v>280</v>
      </c>
      <c r="D559" s="5"/>
      <c r="E559" s="9"/>
      <c r="F559" s="5"/>
      <c r="G559" s="20"/>
      <c r="H559" s="132">
        <v>2</v>
      </c>
      <c r="I559" s="71" t="s">
        <v>251</v>
      </c>
      <c r="J559" s="160">
        <v>1817.96</v>
      </c>
      <c r="K559" s="161">
        <v>3635.92</v>
      </c>
    </row>
    <row r="560" spans="1:11" s="73" customFormat="1" ht="12.75">
      <c r="A560" s="109"/>
      <c r="B560" s="43"/>
      <c r="C560" s="259"/>
      <c r="D560" s="5"/>
      <c r="E560" s="9"/>
      <c r="F560" s="5"/>
      <c r="G560" s="20"/>
      <c r="H560" s="132"/>
      <c r="I560" s="71"/>
      <c r="J560" s="160"/>
      <c r="K560" s="161"/>
    </row>
    <row r="561" spans="1:11" s="73" customFormat="1" ht="46.5" customHeight="1">
      <c r="A561" s="109">
        <f>A559+1</f>
        <v>130</v>
      </c>
      <c r="B561" s="43"/>
      <c r="C561" s="251" t="s">
        <v>275</v>
      </c>
      <c r="D561" s="5"/>
      <c r="E561" s="9"/>
      <c r="F561" s="5"/>
      <c r="G561" s="20"/>
      <c r="H561" s="132">
        <v>1</v>
      </c>
      <c r="I561" s="71" t="s">
        <v>234</v>
      </c>
      <c r="J561" s="160">
        <v>4311.68</v>
      </c>
      <c r="K561" s="161">
        <v>4311.68</v>
      </c>
    </row>
    <row r="562" spans="1:11" s="73" customFormat="1" ht="12.75">
      <c r="A562" s="109"/>
      <c r="B562" s="43"/>
      <c r="C562" s="251"/>
      <c r="D562" s="5"/>
      <c r="E562" s="9"/>
      <c r="F562" s="5"/>
      <c r="G562" s="20"/>
      <c r="H562" s="132"/>
      <c r="I562" s="71"/>
      <c r="J562" s="160"/>
      <c r="K562" s="161"/>
    </row>
    <row r="563" spans="1:11" s="73" customFormat="1" ht="46.5" customHeight="1">
      <c r="A563" s="109">
        <f>A561+1</f>
        <v>131</v>
      </c>
      <c r="B563" s="43"/>
      <c r="C563" s="202" t="s">
        <v>279</v>
      </c>
      <c r="D563" s="5"/>
      <c r="E563" s="9"/>
      <c r="F563" s="5"/>
      <c r="G563" s="20"/>
      <c r="H563" s="132">
        <v>1</v>
      </c>
      <c r="I563" s="71" t="s">
        <v>251</v>
      </c>
      <c r="J563" s="160">
        <v>6234.57</v>
      </c>
      <c r="K563" s="161">
        <v>6234.57</v>
      </c>
    </row>
    <row r="564" spans="1:11" s="73" customFormat="1" ht="12.75">
      <c r="A564" s="109"/>
      <c r="B564" s="43"/>
      <c r="C564" s="202"/>
      <c r="D564" s="5"/>
      <c r="E564" s="9"/>
      <c r="F564" s="5"/>
      <c r="G564" s="20"/>
      <c r="H564" s="132"/>
      <c r="I564" s="71"/>
      <c r="J564" s="160"/>
      <c r="K564" s="161"/>
    </row>
    <row r="565" spans="1:11" s="73" customFormat="1" ht="46.5" customHeight="1">
      <c r="A565" s="46">
        <f>A563+1</f>
        <v>132</v>
      </c>
      <c r="B565" s="43"/>
      <c r="C565" s="202" t="s">
        <v>276</v>
      </c>
      <c r="D565" s="5"/>
      <c r="E565" s="9"/>
      <c r="F565" s="5"/>
      <c r="G565" s="20"/>
      <c r="H565" s="132">
        <v>1</v>
      </c>
      <c r="I565" s="71" t="s">
        <v>251</v>
      </c>
      <c r="J565" s="160">
        <v>1627.83</v>
      </c>
      <c r="K565" s="161">
        <v>1627.83</v>
      </c>
    </row>
    <row r="566" spans="1:11" s="73" customFormat="1" ht="12.75">
      <c r="A566" s="46"/>
      <c r="B566" s="43"/>
      <c r="C566" s="202"/>
      <c r="D566" s="5"/>
      <c r="E566" s="9"/>
      <c r="F566" s="5"/>
      <c r="G566" s="20"/>
      <c r="H566" s="132"/>
      <c r="I566" s="71"/>
      <c r="J566" s="160"/>
      <c r="K566" s="161"/>
    </row>
    <row r="567" spans="1:12" s="73" customFormat="1" ht="46.5" customHeight="1" thickBot="1">
      <c r="A567" s="267">
        <f>A565+1</f>
        <v>133</v>
      </c>
      <c r="B567" s="246"/>
      <c r="C567" s="252" t="s">
        <v>277</v>
      </c>
      <c r="D567" s="213"/>
      <c r="E567" s="214"/>
      <c r="F567" s="213"/>
      <c r="G567" s="215"/>
      <c r="H567" s="131">
        <v>1</v>
      </c>
      <c r="I567" s="247" t="s">
        <v>234</v>
      </c>
      <c r="J567" s="272">
        <v>50449.49</v>
      </c>
      <c r="K567" s="268">
        <v>50449.49</v>
      </c>
      <c r="L567" s="232"/>
    </row>
    <row r="568" spans="1:12" s="73" customFormat="1" ht="12.75">
      <c r="A568" s="260"/>
      <c r="B568" s="189"/>
      <c r="C568" s="300"/>
      <c r="D568" s="177"/>
      <c r="E568" s="178"/>
      <c r="F568" s="177"/>
      <c r="G568" s="156"/>
      <c r="H568" s="157"/>
      <c r="I568" s="179"/>
      <c r="J568" s="269"/>
      <c r="K568" s="264"/>
      <c r="L568" s="232"/>
    </row>
    <row r="569" spans="1:12" ht="22.5">
      <c r="A569" s="46">
        <v>134</v>
      </c>
      <c r="B569" s="43"/>
      <c r="C569" s="301" t="s">
        <v>226</v>
      </c>
      <c r="D569" s="5"/>
      <c r="E569" s="9"/>
      <c r="F569" s="5"/>
      <c r="G569" s="20"/>
      <c r="H569" s="132">
        <v>1</v>
      </c>
      <c r="I569" s="71" t="s">
        <v>234</v>
      </c>
      <c r="J569" s="3">
        <v>3000</v>
      </c>
      <c r="K569" s="161">
        <f>SUM(H569*J569)</f>
        <v>3000</v>
      </c>
      <c r="L569" s="253"/>
    </row>
    <row r="570" spans="1:12" ht="18">
      <c r="A570" s="46"/>
      <c r="B570" s="43"/>
      <c r="C570" s="301"/>
      <c r="D570" s="5"/>
      <c r="E570" s="9"/>
      <c r="F570" s="5"/>
      <c r="G570" s="20"/>
      <c r="H570" s="132"/>
      <c r="I570" s="71"/>
      <c r="J570" s="3"/>
      <c r="K570" s="161"/>
      <c r="L570" s="253"/>
    </row>
    <row r="571" spans="1:12" ht="33.75">
      <c r="A571" s="46">
        <f>A569+1</f>
        <v>135</v>
      </c>
      <c r="B571" s="43"/>
      <c r="C571" s="256" t="s">
        <v>195</v>
      </c>
      <c r="D571" s="5"/>
      <c r="E571" s="9"/>
      <c r="F571" s="5"/>
      <c r="G571" s="20"/>
      <c r="H571" s="132">
        <v>1</v>
      </c>
      <c r="I571" s="71" t="s">
        <v>251</v>
      </c>
      <c r="J571" s="3">
        <v>2500</v>
      </c>
      <c r="K571" s="161">
        <f>SUM(H571*J571)</f>
        <v>2500</v>
      </c>
      <c r="L571" s="253"/>
    </row>
    <row r="572" spans="1:12" ht="18">
      <c r="A572" s="46"/>
      <c r="B572" s="43"/>
      <c r="C572" s="256"/>
      <c r="D572" s="5"/>
      <c r="E572" s="9"/>
      <c r="F572" s="5"/>
      <c r="G572" s="20"/>
      <c r="H572" s="132"/>
      <c r="I572" s="71"/>
      <c r="J572" s="3"/>
      <c r="K572" s="161"/>
      <c r="L572" s="253"/>
    </row>
    <row r="573" spans="1:12" ht="22.5">
      <c r="A573" s="46">
        <v>136</v>
      </c>
      <c r="B573" s="43"/>
      <c r="C573" s="256" t="s">
        <v>196</v>
      </c>
      <c r="D573" s="5"/>
      <c r="E573" s="9"/>
      <c r="F573" s="5"/>
      <c r="G573" s="20"/>
      <c r="H573" s="132">
        <v>1</v>
      </c>
      <c r="I573" s="71" t="s">
        <v>251</v>
      </c>
      <c r="J573" s="3">
        <v>12000</v>
      </c>
      <c r="K573" s="161">
        <f>SUM(H573*J573)</f>
        <v>12000</v>
      </c>
      <c r="L573" s="248"/>
    </row>
    <row r="574" spans="1:12" ht="14.25">
      <c r="A574" s="46"/>
      <c r="B574" s="43"/>
      <c r="C574" s="256"/>
      <c r="D574" s="5"/>
      <c r="E574" s="9"/>
      <c r="F574" s="5"/>
      <c r="G574" s="20"/>
      <c r="H574" s="132"/>
      <c r="I574" s="71"/>
      <c r="J574" s="3"/>
      <c r="K574" s="161"/>
      <c r="L574" s="248"/>
    </row>
    <row r="575" spans="1:12" ht="22.5">
      <c r="A575" s="46">
        <f>A573+1</f>
        <v>137</v>
      </c>
      <c r="B575" s="43"/>
      <c r="C575" s="256" t="s">
        <v>197</v>
      </c>
      <c r="D575" s="5"/>
      <c r="E575" s="20"/>
      <c r="F575" s="5"/>
      <c r="G575" s="20"/>
      <c r="H575" s="132">
        <v>1</v>
      </c>
      <c r="I575" s="71" t="s">
        <v>251</v>
      </c>
      <c r="J575" s="254">
        <v>4000</v>
      </c>
      <c r="K575" s="161">
        <f>SUM(H575*J575)</f>
        <v>4000</v>
      </c>
      <c r="L575" s="248"/>
    </row>
    <row r="576" spans="1:12" ht="14.25">
      <c r="A576" s="46"/>
      <c r="B576" s="43"/>
      <c r="C576" s="256"/>
      <c r="D576" s="5"/>
      <c r="E576" s="20"/>
      <c r="F576" s="5"/>
      <c r="G576" s="20"/>
      <c r="H576" s="132"/>
      <c r="I576" s="71"/>
      <c r="J576" s="254"/>
      <c r="K576" s="161"/>
      <c r="L576" s="248"/>
    </row>
    <row r="577" spans="1:12" ht="21.75" customHeight="1">
      <c r="A577" s="46">
        <f>A575+1</f>
        <v>138</v>
      </c>
      <c r="B577" s="43"/>
      <c r="C577" s="256" t="s">
        <v>198</v>
      </c>
      <c r="D577" s="5"/>
      <c r="E577" s="20"/>
      <c r="F577" s="5"/>
      <c r="G577" s="20"/>
      <c r="H577" s="132">
        <v>20</v>
      </c>
      <c r="I577" s="71" t="s">
        <v>251</v>
      </c>
      <c r="J577" s="254">
        <v>250</v>
      </c>
      <c r="K577" s="161">
        <f>SUM(H577*J577)</f>
        <v>5000</v>
      </c>
      <c r="L577" s="248"/>
    </row>
    <row r="578" spans="1:12" ht="14.25">
      <c r="A578" s="46"/>
      <c r="B578" s="43"/>
      <c r="C578" s="256"/>
      <c r="D578" s="5"/>
      <c r="E578" s="20"/>
      <c r="F578" s="5"/>
      <c r="G578" s="20"/>
      <c r="H578" s="132"/>
      <c r="I578" s="71"/>
      <c r="J578" s="254"/>
      <c r="K578" s="161"/>
      <c r="L578" s="248"/>
    </row>
    <row r="579" spans="1:12" ht="22.5">
      <c r="A579" s="46">
        <f>A577+1</f>
        <v>139</v>
      </c>
      <c r="B579" s="47"/>
      <c r="C579" s="257" t="s">
        <v>199</v>
      </c>
      <c r="D579" s="5"/>
      <c r="E579" s="26"/>
      <c r="F579" s="5"/>
      <c r="G579" s="26"/>
      <c r="H579" s="132">
        <v>3</v>
      </c>
      <c r="I579" s="71" t="s">
        <v>63</v>
      </c>
      <c r="J579" s="255">
        <v>150</v>
      </c>
      <c r="K579" s="161">
        <f>SUM(H579*J579)</f>
        <v>450</v>
      </c>
      <c r="L579" s="249"/>
    </row>
    <row r="580" spans="1:12" ht="14.25">
      <c r="A580" s="46"/>
      <c r="B580" s="47"/>
      <c r="C580" s="257"/>
      <c r="D580" s="5"/>
      <c r="E580" s="26"/>
      <c r="F580" s="5"/>
      <c r="G580" s="26"/>
      <c r="H580" s="132"/>
      <c r="I580" s="71"/>
      <c r="J580" s="255"/>
      <c r="K580" s="161"/>
      <c r="L580" s="249"/>
    </row>
    <row r="581" spans="1:12" ht="22.5">
      <c r="A581" s="46">
        <f>A579+1</f>
        <v>140</v>
      </c>
      <c r="B581" s="47"/>
      <c r="C581" s="256" t="s">
        <v>200</v>
      </c>
      <c r="D581" s="5"/>
      <c r="E581" s="9"/>
      <c r="F581" s="5"/>
      <c r="G581" s="26"/>
      <c r="H581" s="132">
        <v>35</v>
      </c>
      <c r="I581" s="71"/>
      <c r="J581" s="255">
        <v>25</v>
      </c>
      <c r="K581" s="161">
        <f>SUM(H581*J581)</f>
        <v>875</v>
      </c>
      <c r="L581" s="249"/>
    </row>
    <row r="582" spans="1:12" ht="14.25">
      <c r="A582" s="46"/>
      <c r="B582" s="47"/>
      <c r="C582" s="256"/>
      <c r="D582" s="5"/>
      <c r="E582" s="9"/>
      <c r="F582" s="5"/>
      <c r="G582" s="26"/>
      <c r="H582" s="132"/>
      <c r="I582" s="71"/>
      <c r="J582" s="255"/>
      <c r="K582" s="161"/>
      <c r="L582" s="249"/>
    </row>
    <row r="583" spans="1:12" ht="22.5">
      <c r="A583" s="46">
        <f>A581+1</f>
        <v>141</v>
      </c>
      <c r="B583" s="47"/>
      <c r="C583" s="256" t="s">
        <v>201</v>
      </c>
      <c r="D583" s="5"/>
      <c r="E583" s="9"/>
      <c r="F583" s="5"/>
      <c r="G583" s="26"/>
      <c r="H583" s="132">
        <v>1</v>
      </c>
      <c r="I583" s="71" t="s">
        <v>165</v>
      </c>
      <c r="J583" s="255">
        <v>3000</v>
      </c>
      <c r="K583" s="161">
        <f>SUM(H583*J583)</f>
        <v>3000</v>
      </c>
      <c r="L583" s="249"/>
    </row>
    <row r="584" spans="1:12" ht="14.25">
      <c r="A584" s="46"/>
      <c r="B584" s="47"/>
      <c r="C584" s="256"/>
      <c r="D584" s="5"/>
      <c r="E584" s="9"/>
      <c r="F584" s="5"/>
      <c r="G584" s="26"/>
      <c r="H584" s="132"/>
      <c r="I584" s="71"/>
      <c r="J584" s="255"/>
      <c r="K584" s="161"/>
      <c r="L584" s="249"/>
    </row>
    <row r="585" spans="1:12" ht="33.75">
      <c r="A585" s="46">
        <f>A583+1</f>
        <v>142</v>
      </c>
      <c r="B585" s="47"/>
      <c r="C585" s="256" t="s">
        <v>202</v>
      </c>
      <c r="D585" s="5"/>
      <c r="E585" s="9"/>
      <c r="F585" s="5"/>
      <c r="G585" s="26"/>
      <c r="H585" s="132">
        <v>1</v>
      </c>
      <c r="I585" s="71" t="s">
        <v>234</v>
      </c>
      <c r="J585" s="255">
        <v>1800</v>
      </c>
      <c r="K585" s="161">
        <f>SUM(H585*J585)</f>
        <v>1800</v>
      </c>
      <c r="L585" s="249"/>
    </row>
    <row r="586" spans="1:12" ht="14.25">
      <c r="A586" s="46"/>
      <c r="B586" s="47"/>
      <c r="C586" s="256"/>
      <c r="D586" s="5"/>
      <c r="E586" s="9"/>
      <c r="F586" s="5"/>
      <c r="G586" s="26"/>
      <c r="H586" s="132"/>
      <c r="I586" s="71"/>
      <c r="J586" s="255"/>
      <c r="K586" s="161"/>
      <c r="L586" s="249"/>
    </row>
    <row r="587" spans="1:12" ht="22.5">
      <c r="A587" s="46">
        <f>A585+1</f>
        <v>143</v>
      </c>
      <c r="B587" s="47"/>
      <c r="C587" s="256" t="s">
        <v>212</v>
      </c>
      <c r="D587" s="5"/>
      <c r="E587" s="9"/>
      <c r="F587" s="5"/>
      <c r="G587" s="26"/>
      <c r="H587" s="132">
        <v>15</v>
      </c>
      <c r="I587" s="71" t="s">
        <v>166</v>
      </c>
      <c r="J587" s="255">
        <v>25</v>
      </c>
      <c r="K587" s="161">
        <f>SUM(H587*J587)</f>
        <v>375</v>
      </c>
      <c r="L587" s="249"/>
    </row>
    <row r="588" spans="1:12" ht="14.25">
      <c r="A588" s="46"/>
      <c r="B588" s="47"/>
      <c r="C588" s="256"/>
      <c r="D588" s="5"/>
      <c r="E588" s="9"/>
      <c r="F588" s="5"/>
      <c r="G588" s="26"/>
      <c r="H588" s="132"/>
      <c r="I588" s="71"/>
      <c r="J588" s="255"/>
      <c r="K588" s="161"/>
      <c r="L588" s="249"/>
    </row>
    <row r="589" spans="1:12" ht="33.75">
      <c r="A589" s="46">
        <f>A587+1</f>
        <v>144</v>
      </c>
      <c r="B589" s="47"/>
      <c r="C589" s="257" t="s">
        <v>213</v>
      </c>
      <c r="D589" s="5"/>
      <c r="E589" s="26"/>
      <c r="F589" s="5"/>
      <c r="G589" s="26"/>
      <c r="H589" s="132">
        <v>30</v>
      </c>
      <c r="I589" s="71" t="s">
        <v>63</v>
      </c>
      <c r="J589" s="255">
        <v>50</v>
      </c>
      <c r="K589" s="161">
        <f>SUM(H589*J589)</f>
        <v>1500</v>
      </c>
      <c r="L589" s="249"/>
    </row>
    <row r="590" spans="1:12" ht="14.25">
      <c r="A590" s="46"/>
      <c r="B590" s="47"/>
      <c r="C590" s="257"/>
      <c r="D590" s="5"/>
      <c r="E590" s="26"/>
      <c r="F590" s="5"/>
      <c r="G590" s="26"/>
      <c r="H590" s="132"/>
      <c r="I590" s="71"/>
      <c r="J590" s="255"/>
      <c r="K590" s="161"/>
      <c r="L590" s="249"/>
    </row>
    <row r="591" spans="1:12" ht="33.75">
      <c r="A591" s="46">
        <f>A589+1</f>
        <v>145</v>
      </c>
      <c r="B591" s="47"/>
      <c r="C591" s="256" t="s">
        <v>214</v>
      </c>
      <c r="D591" s="5"/>
      <c r="E591" s="9"/>
      <c r="F591" s="5"/>
      <c r="G591" s="26"/>
      <c r="H591" s="132">
        <v>1</v>
      </c>
      <c r="I591" s="71" t="s">
        <v>234</v>
      </c>
      <c r="J591" s="255">
        <v>3500</v>
      </c>
      <c r="K591" s="161">
        <f>SUM(H591*J591)</f>
        <v>3500</v>
      </c>
      <c r="L591" s="249"/>
    </row>
    <row r="592" spans="1:12" ht="14.25">
      <c r="A592" s="46"/>
      <c r="B592" s="47"/>
      <c r="C592" s="256"/>
      <c r="D592" s="5"/>
      <c r="E592" s="9"/>
      <c r="F592" s="5"/>
      <c r="G592" s="26"/>
      <c r="H592" s="132"/>
      <c r="I592" s="71"/>
      <c r="J592" s="255"/>
      <c r="K592" s="161"/>
      <c r="L592" s="249"/>
    </row>
    <row r="593" spans="1:12" ht="33.75">
      <c r="A593" s="46">
        <f>A591+1</f>
        <v>146</v>
      </c>
      <c r="B593" s="47"/>
      <c r="C593" s="256" t="s">
        <v>215</v>
      </c>
      <c r="D593" s="5"/>
      <c r="E593" s="9"/>
      <c r="F593" s="5"/>
      <c r="G593" s="26"/>
      <c r="H593" s="132">
        <v>15</v>
      </c>
      <c r="I593" s="71" t="s">
        <v>251</v>
      </c>
      <c r="J593" s="255">
        <v>50</v>
      </c>
      <c r="K593" s="161">
        <f>SUM(H593*J593)</f>
        <v>750</v>
      </c>
      <c r="L593" s="249"/>
    </row>
    <row r="594" spans="1:12" ht="14.25">
      <c r="A594" s="46"/>
      <c r="B594" s="47"/>
      <c r="C594" s="256"/>
      <c r="D594" s="5"/>
      <c r="E594" s="9"/>
      <c r="F594" s="5"/>
      <c r="G594" s="26"/>
      <c r="H594" s="132"/>
      <c r="I594" s="71"/>
      <c r="J594" s="255"/>
      <c r="K594" s="161"/>
      <c r="L594" s="249"/>
    </row>
    <row r="595" spans="1:12" ht="33.75">
      <c r="A595" s="46">
        <f>A593+1</f>
        <v>147</v>
      </c>
      <c r="B595" s="47"/>
      <c r="C595" s="256" t="s">
        <v>216</v>
      </c>
      <c r="D595" s="5"/>
      <c r="E595" s="9"/>
      <c r="F595" s="5"/>
      <c r="G595" s="26"/>
      <c r="H595" s="132">
        <v>175</v>
      </c>
      <c r="I595" s="71" t="s">
        <v>63</v>
      </c>
      <c r="J595" s="255">
        <v>20</v>
      </c>
      <c r="K595" s="161">
        <f>SUM(H595*J595)</f>
        <v>3500</v>
      </c>
      <c r="L595" s="249"/>
    </row>
    <row r="596" spans="1:12" ht="14.25">
      <c r="A596" s="46"/>
      <c r="B596" s="47"/>
      <c r="C596" s="256"/>
      <c r="D596" s="5"/>
      <c r="E596" s="9"/>
      <c r="F596" s="5"/>
      <c r="G596" s="26"/>
      <c r="H596" s="132"/>
      <c r="I596" s="71"/>
      <c r="J596" s="255"/>
      <c r="K596" s="161"/>
      <c r="L596" s="249"/>
    </row>
    <row r="597" spans="1:12" ht="33.75">
      <c r="A597" s="46">
        <f>A595+1</f>
        <v>148</v>
      </c>
      <c r="B597" s="47"/>
      <c r="C597" s="256" t="s">
        <v>217</v>
      </c>
      <c r="D597" s="5"/>
      <c r="E597" s="9"/>
      <c r="F597" s="5"/>
      <c r="G597" s="26"/>
      <c r="H597" s="132">
        <v>40</v>
      </c>
      <c r="I597" s="71" t="s">
        <v>63</v>
      </c>
      <c r="J597" s="255">
        <v>22</v>
      </c>
      <c r="K597" s="161">
        <f>SUM(H597*J597)</f>
        <v>880</v>
      </c>
      <c r="L597" s="249"/>
    </row>
    <row r="598" spans="1:12" ht="14.25">
      <c r="A598" s="46"/>
      <c r="B598" s="47"/>
      <c r="C598" s="256"/>
      <c r="D598" s="5"/>
      <c r="E598" s="9"/>
      <c r="F598" s="5"/>
      <c r="G598" s="26"/>
      <c r="H598" s="132"/>
      <c r="I598" s="71"/>
      <c r="J598" s="255"/>
      <c r="K598" s="161"/>
      <c r="L598" s="249"/>
    </row>
    <row r="599" spans="1:12" ht="22.5">
      <c r="A599" s="46">
        <f>A597+1</f>
        <v>149</v>
      </c>
      <c r="B599" s="47"/>
      <c r="C599" s="256" t="s">
        <v>218</v>
      </c>
      <c r="D599" s="5"/>
      <c r="E599" s="9"/>
      <c r="F599" s="5"/>
      <c r="G599" s="26"/>
      <c r="H599" s="132">
        <v>1</v>
      </c>
      <c r="I599" s="71" t="s">
        <v>234</v>
      </c>
      <c r="J599" s="255">
        <v>500</v>
      </c>
      <c r="K599" s="161">
        <f>SUM(H599*J599)</f>
        <v>500</v>
      </c>
      <c r="L599" s="249"/>
    </row>
    <row r="600" spans="1:12" ht="14.25">
      <c r="A600" s="46"/>
      <c r="B600" s="47"/>
      <c r="C600" s="256"/>
      <c r="D600" s="5"/>
      <c r="E600" s="9"/>
      <c r="F600" s="5"/>
      <c r="G600" s="26"/>
      <c r="H600" s="132"/>
      <c r="I600" s="71"/>
      <c r="J600" s="255"/>
      <c r="K600" s="161"/>
      <c r="L600" s="249"/>
    </row>
    <row r="601" spans="1:12" ht="33.75">
      <c r="A601" s="46">
        <f>A599+1</f>
        <v>150</v>
      </c>
      <c r="B601" s="47"/>
      <c r="C601" s="256" t="s">
        <v>219</v>
      </c>
      <c r="D601" s="5"/>
      <c r="E601" s="26"/>
      <c r="F601" s="5"/>
      <c r="G601" s="26"/>
      <c r="H601" s="132">
        <v>1</v>
      </c>
      <c r="I601" s="71" t="s">
        <v>234</v>
      </c>
      <c r="J601" s="255">
        <v>700</v>
      </c>
      <c r="K601" s="161">
        <f>SUM(H601*J601)</f>
        <v>700</v>
      </c>
      <c r="L601" s="249"/>
    </row>
    <row r="602" spans="1:12" ht="14.25">
      <c r="A602" s="46"/>
      <c r="B602" s="47"/>
      <c r="C602" s="256"/>
      <c r="D602" s="5"/>
      <c r="E602" s="26"/>
      <c r="F602" s="5"/>
      <c r="G602" s="26"/>
      <c r="H602" s="132"/>
      <c r="I602" s="71"/>
      <c r="J602" s="255"/>
      <c r="K602" s="161"/>
      <c r="L602" s="249"/>
    </row>
    <row r="603" spans="1:12" ht="22.5">
      <c r="A603" s="46">
        <f>A601+1</f>
        <v>151</v>
      </c>
      <c r="B603" s="47"/>
      <c r="C603" s="256" t="s">
        <v>220</v>
      </c>
      <c r="D603" s="5"/>
      <c r="E603" s="26"/>
      <c r="F603" s="5"/>
      <c r="G603" s="26"/>
      <c r="H603" s="132">
        <v>1</v>
      </c>
      <c r="I603" s="71" t="s">
        <v>234</v>
      </c>
      <c r="J603" s="255">
        <v>200</v>
      </c>
      <c r="K603" s="161">
        <f>SUM(H603*J603)</f>
        <v>200</v>
      </c>
      <c r="L603" s="249"/>
    </row>
    <row r="604" spans="1:12" ht="14.25">
      <c r="A604" s="46"/>
      <c r="B604" s="47"/>
      <c r="C604" s="256"/>
      <c r="D604" s="5"/>
      <c r="E604" s="26"/>
      <c r="F604" s="5"/>
      <c r="G604" s="26"/>
      <c r="H604" s="132"/>
      <c r="I604" s="71"/>
      <c r="J604" s="255"/>
      <c r="K604" s="161"/>
      <c r="L604" s="249"/>
    </row>
    <row r="605" spans="1:12" ht="22.5">
      <c r="A605" s="46">
        <f>A603+1</f>
        <v>152</v>
      </c>
      <c r="B605" s="47"/>
      <c r="C605" s="256" t="s">
        <v>221</v>
      </c>
      <c r="D605" s="5"/>
      <c r="E605" s="26"/>
      <c r="F605" s="5"/>
      <c r="G605" s="26"/>
      <c r="H605" s="132">
        <v>1</v>
      </c>
      <c r="I605" s="71" t="s">
        <v>234</v>
      </c>
      <c r="J605" s="255">
        <v>400</v>
      </c>
      <c r="K605" s="161">
        <f>SUM(H605*J605)</f>
        <v>400</v>
      </c>
      <c r="L605" s="249"/>
    </row>
    <row r="606" spans="1:12" ht="14.25">
      <c r="A606" s="46"/>
      <c r="B606" s="47"/>
      <c r="C606" s="256"/>
      <c r="D606" s="5"/>
      <c r="E606" s="26"/>
      <c r="F606" s="5"/>
      <c r="G606" s="26"/>
      <c r="H606" s="132"/>
      <c r="I606" s="71"/>
      <c r="J606" s="255"/>
      <c r="K606" s="161"/>
      <c r="L606" s="249"/>
    </row>
    <row r="607" spans="1:12" ht="22.5">
      <c r="A607" s="46">
        <f>A605+1</f>
        <v>153</v>
      </c>
      <c r="B607" s="43"/>
      <c r="C607" s="256" t="s">
        <v>222</v>
      </c>
      <c r="D607" s="5"/>
      <c r="E607" s="20"/>
      <c r="F607" s="5"/>
      <c r="G607" s="20"/>
      <c r="H607" s="132">
        <v>1</v>
      </c>
      <c r="I607" s="71" t="s">
        <v>234</v>
      </c>
      <c r="J607" s="254">
        <v>2000</v>
      </c>
      <c r="K607" s="161">
        <f>SUM(H607*J607)</f>
        <v>2000</v>
      </c>
      <c r="L607" s="248"/>
    </row>
    <row r="608" spans="1:12" ht="14.25">
      <c r="A608" s="46"/>
      <c r="B608" s="43"/>
      <c r="C608" s="256"/>
      <c r="D608" s="5"/>
      <c r="E608" s="20"/>
      <c r="F608" s="5"/>
      <c r="G608" s="20"/>
      <c r="H608" s="132"/>
      <c r="I608" s="71"/>
      <c r="J608" s="254"/>
      <c r="K608" s="161"/>
      <c r="L608" s="248"/>
    </row>
    <row r="609" spans="1:12" ht="22.5">
      <c r="A609" s="46">
        <f>A607+1</f>
        <v>154</v>
      </c>
      <c r="B609" s="43"/>
      <c r="C609" s="256" t="s">
        <v>223</v>
      </c>
      <c r="D609" s="5"/>
      <c r="E609" s="20"/>
      <c r="F609" s="5"/>
      <c r="G609" s="20"/>
      <c r="H609" s="132">
        <v>40</v>
      </c>
      <c r="I609" s="71" t="s">
        <v>251</v>
      </c>
      <c r="J609" s="254">
        <v>150</v>
      </c>
      <c r="K609" s="161">
        <f>SUM(H609*J609)</f>
        <v>6000</v>
      </c>
      <c r="L609" s="248"/>
    </row>
    <row r="610" spans="1:12" ht="14.25">
      <c r="A610" s="46"/>
      <c r="B610" s="43"/>
      <c r="C610" s="256"/>
      <c r="D610" s="5"/>
      <c r="E610" s="20"/>
      <c r="F610" s="5"/>
      <c r="G610" s="20"/>
      <c r="H610" s="132"/>
      <c r="I610" s="71"/>
      <c r="J610" s="254"/>
      <c r="K610" s="161"/>
      <c r="L610" s="248"/>
    </row>
    <row r="611" spans="1:12" ht="14.25">
      <c r="A611" s="46">
        <f>A609+1</f>
        <v>155</v>
      </c>
      <c r="B611" s="43"/>
      <c r="C611" s="256" t="s">
        <v>225</v>
      </c>
      <c r="D611" s="5"/>
      <c r="E611" s="20"/>
      <c r="F611" s="5"/>
      <c r="G611" s="20"/>
      <c r="H611" s="132">
        <v>20</v>
      </c>
      <c r="I611" s="71" t="s">
        <v>251</v>
      </c>
      <c r="J611" s="254">
        <v>50</v>
      </c>
      <c r="K611" s="161">
        <f>SUM(H611*J611)</f>
        <v>1000</v>
      </c>
      <c r="L611" s="248"/>
    </row>
    <row r="612" spans="1:12" ht="14.25">
      <c r="A612" s="46"/>
      <c r="B612" s="43"/>
      <c r="C612" s="256"/>
      <c r="D612" s="5"/>
      <c r="E612" s="20"/>
      <c r="F612" s="5"/>
      <c r="G612" s="20"/>
      <c r="H612" s="132"/>
      <c r="I612" s="71"/>
      <c r="J612" s="254"/>
      <c r="K612" s="161"/>
      <c r="L612" s="248"/>
    </row>
    <row r="613" spans="1:12" ht="33.75">
      <c r="A613" s="46">
        <f>A611+1</f>
        <v>156</v>
      </c>
      <c r="B613" s="43"/>
      <c r="C613" s="256" t="s">
        <v>224</v>
      </c>
      <c r="D613" s="5"/>
      <c r="E613" s="20"/>
      <c r="F613" s="5"/>
      <c r="G613" s="20"/>
      <c r="H613" s="132">
        <v>110</v>
      </c>
      <c r="I613" s="71" t="s">
        <v>251</v>
      </c>
      <c r="J613" s="254">
        <v>160</v>
      </c>
      <c r="K613" s="161">
        <f>SUM(H613*J613)</f>
        <v>17600</v>
      </c>
      <c r="L613" s="248"/>
    </row>
    <row r="614" spans="1:12" ht="14.25">
      <c r="A614" s="46"/>
      <c r="B614" s="43"/>
      <c r="C614" s="256"/>
      <c r="D614" s="5"/>
      <c r="E614" s="20"/>
      <c r="F614" s="5"/>
      <c r="G614" s="20"/>
      <c r="H614" s="132"/>
      <c r="I614" s="71"/>
      <c r="J614" s="254"/>
      <c r="K614" s="161"/>
      <c r="L614" s="248"/>
    </row>
    <row r="615" spans="1:12" ht="33.75">
      <c r="A615" s="46">
        <f>A613+1</f>
        <v>157</v>
      </c>
      <c r="B615" s="43"/>
      <c r="C615" s="256" t="s">
        <v>181</v>
      </c>
      <c r="D615" s="5"/>
      <c r="E615" s="20"/>
      <c r="F615" s="5"/>
      <c r="G615" s="20"/>
      <c r="H615" s="132">
        <v>30</v>
      </c>
      <c r="I615" s="71" t="s">
        <v>251</v>
      </c>
      <c r="J615" s="254">
        <v>200</v>
      </c>
      <c r="K615" s="161">
        <f>H615*J615</f>
        <v>6000</v>
      </c>
      <c r="L615" s="248"/>
    </row>
    <row r="616" spans="1:12" ht="14.25">
      <c r="A616" s="46"/>
      <c r="B616" s="43"/>
      <c r="C616" s="256"/>
      <c r="D616" s="5"/>
      <c r="E616" s="20"/>
      <c r="F616" s="5"/>
      <c r="G616" s="20"/>
      <c r="H616" s="132"/>
      <c r="I616" s="71"/>
      <c r="J616" s="254"/>
      <c r="K616" s="161"/>
      <c r="L616" s="248"/>
    </row>
    <row r="617" spans="1:12" ht="33.75">
      <c r="A617" s="46">
        <f>A615+1</f>
        <v>158</v>
      </c>
      <c r="B617" s="43"/>
      <c r="C617" s="256" t="s">
        <v>182</v>
      </c>
      <c r="D617" s="5"/>
      <c r="E617" s="20"/>
      <c r="F617" s="5"/>
      <c r="G617" s="20"/>
      <c r="H617" s="132">
        <v>1</v>
      </c>
      <c r="I617" s="71" t="s">
        <v>234</v>
      </c>
      <c r="J617" s="255">
        <v>5940</v>
      </c>
      <c r="K617" s="161">
        <f>H617*J617</f>
        <v>5940</v>
      </c>
      <c r="L617" s="248"/>
    </row>
    <row r="618" spans="1:12" ht="14.25">
      <c r="A618" s="46"/>
      <c r="B618" s="43"/>
      <c r="C618" s="256"/>
      <c r="D618" s="5"/>
      <c r="E618" s="20"/>
      <c r="F618" s="5"/>
      <c r="G618" s="20"/>
      <c r="H618" s="132"/>
      <c r="I618" s="71"/>
      <c r="J618" s="255"/>
      <c r="K618" s="161"/>
      <c r="L618" s="248"/>
    </row>
    <row r="619" spans="1:12" ht="33.75">
      <c r="A619" s="46">
        <f>A617+1</f>
        <v>159</v>
      </c>
      <c r="B619" s="43"/>
      <c r="C619" s="256" t="s">
        <v>180</v>
      </c>
      <c r="D619" s="5"/>
      <c r="E619" s="20"/>
      <c r="F619" s="5"/>
      <c r="G619" s="20"/>
      <c r="H619" s="132">
        <v>1</v>
      </c>
      <c r="I619" s="71" t="s">
        <v>234</v>
      </c>
      <c r="J619" s="254">
        <v>650</v>
      </c>
      <c r="K619" s="161">
        <f>H619*J619</f>
        <v>650</v>
      </c>
      <c r="L619" s="248"/>
    </row>
    <row r="620" spans="1:12" ht="14.25">
      <c r="A620" s="46"/>
      <c r="B620" s="43"/>
      <c r="C620" s="256"/>
      <c r="D620" s="5"/>
      <c r="E620" s="20"/>
      <c r="F620" s="5"/>
      <c r="G620" s="20"/>
      <c r="H620" s="132"/>
      <c r="I620" s="71"/>
      <c r="J620" s="254"/>
      <c r="K620" s="161"/>
      <c r="L620" s="248"/>
    </row>
    <row r="621" spans="1:12" ht="22.5">
      <c r="A621" s="46">
        <f>A619+1</f>
        <v>160</v>
      </c>
      <c r="B621" s="43"/>
      <c r="C621" s="256" t="s">
        <v>179</v>
      </c>
      <c r="D621" s="5"/>
      <c r="E621" s="20"/>
      <c r="F621" s="5"/>
      <c r="G621" s="20"/>
      <c r="H621" s="132">
        <v>1</v>
      </c>
      <c r="I621" s="71" t="s">
        <v>234</v>
      </c>
      <c r="J621" s="254">
        <v>900</v>
      </c>
      <c r="K621" s="161">
        <f>H621*J621</f>
        <v>900</v>
      </c>
      <c r="L621" s="248"/>
    </row>
    <row r="622" spans="1:12" ht="14.25">
      <c r="A622" s="46"/>
      <c r="B622" s="43"/>
      <c r="C622" s="256"/>
      <c r="D622" s="5"/>
      <c r="E622" s="20"/>
      <c r="F622" s="5"/>
      <c r="G622" s="20"/>
      <c r="H622" s="132"/>
      <c r="I622" s="71"/>
      <c r="J622" s="254"/>
      <c r="K622" s="161"/>
      <c r="L622" s="248"/>
    </row>
    <row r="623" spans="1:12" ht="22.5">
      <c r="A623" s="46">
        <f>A621+1</f>
        <v>161</v>
      </c>
      <c r="B623" s="43"/>
      <c r="C623" s="256" t="s">
        <v>183</v>
      </c>
      <c r="D623" s="5"/>
      <c r="E623" s="20"/>
      <c r="F623" s="5"/>
      <c r="G623" s="20"/>
      <c r="H623" s="132">
        <v>1</v>
      </c>
      <c r="I623" s="71" t="s">
        <v>234</v>
      </c>
      <c r="J623" s="254">
        <v>1200</v>
      </c>
      <c r="K623" s="161">
        <f>H623*J623</f>
        <v>1200</v>
      </c>
      <c r="L623" s="248"/>
    </row>
    <row r="624" spans="1:12" ht="14.25">
      <c r="A624" s="46"/>
      <c r="B624" s="43"/>
      <c r="C624" s="256"/>
      <c r="D624" s="5"/>
      <c r="E624" s="20"/>
      <c r="F624" s="5"/>
      <c r="G624" s="20"/>
      <c r="H624" s="132"/>
      <c r="I624" s="71"/>
      <c r="J624" s="254"/>
      <c r="K624" s="161"/>
      <c r="L624" s="248"/>
    </row>
    <row r="625" spans="1:12" ht="33.75">
      <c r="A625" s="46">
        <f>A623+1</f>
        <v>162</v>
      </c>
      <c r="B625" s="43"/>
      <c r="C625" s="257" t="s">
        <v>184</v>
      </c>
      <c r="D625" s="5"/>
      <c r="E625" s="20"/>
      <c r="F625" s="5"/>
      <c r="G625" s="20"/>
      <c r="H625" s="132">
        <v>1</v>
      </c>
      <c r="I625" s="71" t="s">
        <v>234</v>
      </c>
      <c r="J625" s="254">
        <v>3000</v>
      </c>
      <c r="K625" s="161">
        <f>SUM(H625*J625)</f>
        <v>3000</v>
      </c>
      <c r="L625" s="248"/>
    </row>
    <row r="626" spans="1:12" ht="14.25">
      <c r="A626" s="46"/>
      <c r="B626" s="43"/>
      <c r="C626" s="257"/>
      <c r="D626" s="5"/>
      <c r="E626" s="20"/>
      <c r="F626" s="5"/>
      <c r="G626" s="20"/>
      <c r="H626" s="132"/>
      <c r="I626" s="71"/>
      <c r="J626" s="254"/>
      <c r="K626" s="161"/>
      <c r="L626" s="248"/>
    </row>
    <row r="627" spans="1:12" ht="33.75">
      <c r="A627" s="46">
        <f>A625+1</f>
        <v>163</v>
      </c>
      <c r="B627" s="43"/>
      <c r="C627" s="256" t="s">
        <v>178</v>
      </c>
      <c r="D627" s="5"/>
      <c r="E627" s="20"/>
      <c r="F627" s="5"/>
      <c r="G627" s="20"/>
      <c r="H627" s="132">
        <v>20</v>
      </c>
      <c r="I627" s="71" t="s">
        <v>251</v>
      </c>
      <c r="J627" s="254">
        <v>80</v>
      </c>
      <c r="K627" s="161">
        <f>SUM(H627*J627)</f>
        <v>1600</v>
      </c>
      <c r="L627" s="248"/>
    </row>
    <row r="628" spans="1:12" ht="14.25">
      <c r="A628" s="46"/>
      <c r="B628" s="43"/>
      <c r="C628" s="256"/>
      <c r="D628" s="5"/>
      <c r="E628" s="20"/>
      <c r="F628" s="5"/>
      <c r="G628" s="20"/>
      <c r="H628" s="132"/>
      <c r="I628" s="71"/>
      <c r="J628" s="254"/>
      <c r="K628" s="161"/>
      <c r="L628" s="248"/>
    </row>
    <row r="629" spans="1:12" ht="22.5">
      <c r="A629" s="46">
        <f>A627+1</f>
        <v>164</v>
      </c>
      <c r="B629" s="43"/>
      <c r="C629" s="256" t="s">
        <v>185</v>
      </c>
      <c r="D629" s="5"/>
      <c r="E629" s="20"/>
      <c r="F629" s="5"/>
      <c r="G629" s="20"/>
      <c r="H629" s="132">
        <v>40</v>
      </c>
      <c r="I629" s="71" t="s">
        <v>251</v>
      </c>
      <c r="J629" s="254">
        <v>30</v>
      </c>
      <c r="K629" s="161">
        <f>SUM(H629*J629)</f>
        <v>1200</v>
      </c>
      <c r="L629" s="248"/>
    </row>
    <row r="630" spans="1:12" ht="14.25">
      <c r="A630" s="46"/>
      <c r="B630" s="43"/>
      <c r="C630" s="256"/>
      <c r="D630" s="5"/>
      <c r="E630" s="20"/>
      <c r="F630" s="5"/>
      <c r="G630" s="20"/>
      <c r="H630" s="132"/>
      <c r="I630" s="71"/>
      <c r="J630" s="254"/>
      <c r="K630" s="161"/>
      <c r="L630" s="248"/>
    </row>
    <row r="631" spans="1:12" ht="33.75">
      <c r="A631" s="46">
        <f>A629+1</f>
        <v>165</v>
      </c>
      <c r="B631" s="43"/>
      <c r="C631" s="256" t="s">
        <v>173</v>
      </c>
      <c r="D631" s="5"/>
      <c r="E631" s="20"/>
      <c r="F631" s="5"/>
      <c r="G631" s="20"/>
      <c r="H631" s="132">
        <v>1</v>
      </c>
      <c r="I631" s="71" t="s">
        <v>251</v>
      </c>
      <c r="J631" s="254">
        <v>7000</v>
      </c>
      <c r="K631" s="161">
        <f>SUM(H631*J631)</f>
        <v>7000</v>
      </c>
      <c r="L631" s="248"/>
    </row>
    <row r="632" spans="1:12" ht="14.25">
      <c r="A632" s="46"/>
      <c r="B632" s="43"/>
      <c r="C632" s="256"/>
      <c r="D632" s="5"/>
      <c r="E632" s="20"/>
      <c r="F632" s="5"/>
      <c r="G632" s="20"/>
      <c r="H632" s="132"/>
      <c r="I632" s="71"/>
      <c r="J632" s="254"/>
      <c r="K632" s="161"/>
      <c r="L632" s="248"/>
    </row>
    <row r="633" spans="1:12" ht="22.5">
      <c r="A633" s="46">
        <f>A631+1</f>
        <v>166</v>
      </c>
      <c r="B633" s="43"/>
      <c r="C633" s="256" t="s">
        <v>174</v>
      </c>
      <c r="D633" s="5"/>
      <c r="E633" s="20"/>
      <c r="F633" s="5"/>
      <c r="G633" s="20"/>
      <c r="H633" s="132">
        <v>1</v>
      </c>
      <c r="I633" s="71" t="s">
        <v>251</v>
      </c>
      <c r="J633" s="254">
        <v>1500</v>
      </c>
      <c r="K633" s="161">
        <f>SUM(H633*J633)</f>
        <v>1500</v>
      </c>
      <c r="L633" s="248"/>
    </row>
    <row r="634" spans="1:12" ht="14.25">
      <c r="A634" s="46"/>
      <c r="B634" s="43"/>
      <c r="C634" s="256"/>
      <c r="D634" s="5"/>
      <c r="E634" s="20"/>
      <c r="F634" s="5"/>
      <c r="G634" s="20"/>
      <c r="H634" s="132"/>
      <c r="I634" s="71"/>
      <c r="J634" s="254"/>
      <c r="K634" s="161"/>
      <c r="L634" s="248"/>
    </row>
    <row r="635" spans="1:12" ht="33.75">
      <c r="A635" s="46">
        <f>A633+1</f>
        <v>167</v>
      </c>
      <c r="B635" s="43"/>
      <c r="C635" s="256" t="s">
        <v>175</v>
      </c>
      <c r="D635" s="5"/>
      <c r="E635" s="20"/>
      <c r="F635" s="5"/>
      <c r="G635" s="20"/>
      <c r="H635" s="132">
        <v>1</v>
      </c>
      <c r="I635" s="71" t="s">
        <v>234</v>
      </c>
      <c r="J635" s="254">
        <v>1000</v>
      </c>
      <c r="K635" s="161">
        <f>SUM(H635*J635)</f>
        <v>1000</v>
      </c>
      <c r="L635" s="248"/>
    </row>
    <row r="636" spans="1:12" ht="14.25">
      <c r="A636" s="46"/>
      <c r="B636" s="43"/>
      <c r="C636" s="256"/>
      <c r="D636" s="5"/>
      <c r="E636" s="20"/>
      <c r="F636" s="5"/>
      <c r="G636" s="20"/>
      <c r="H636" s="132"/>
      <c r="I636" s="71"/>
      <c r="J636" s="254"/>
      <c r="K636" s="161"/>
      <c r="L636" s="248"/>
    </row>
    <row r="637" spans="1:12" ht="22.5">
      <c r="A637" s="46">
        <f>A635+1</f>
        <v>168</v>
      </c>
      <c r="B637" s="43"/>
      <c r="C637" s="256" t="s">
        <v>176</v>
      </c>
      <c r="D637" s="5"/>
      <c r="E637" s="20"/>
      <c r="F637" s="5"/>
      <c r="G637" s="20"/>
      <c r="H637" s="132">
        <v>5</v>
      </c>
      <c r="I637" s="71" t="s">
        <v>251</v>
      </c>
      <c r="J637" s="254">
        <v>50</v>
      </c>
      <c r="K637" s="161">
        <f>SUM(H637*J637)</f>
        <v>250</v>
      </c>
      <c r="L637" s="248"/>
    </row>
    <row r="638" spans="1:12" ht="14.25">
      <c r="A638" s="46"/>
      <c r="B638" s="43"/>
      <c r="C638" s="256"/>
      <c r="D638" s="5"/>
      <c r="E638" s="20"/>
      <c r="F638" s="5"/>
      <c r="G638" s="20"/>
      <c r="H638" s="132"/>
      <c r="I638" s="71"/>
      <c r="J638" s="254"/>
      <c r="K638" s="161"/>
      <c r="L638" s="248"/>
    </row>
    <row r="639" spans="1:12" ht="22.5">
      <c r="A639" s="46">
        <f>A637+1</f>
        <v>169</v>
      </c>
      <c r="B639" s="43"/>
      <c r="C639" s="256" t="s">
        <v>177</v>
      </c>
      <c r="D639" s="5"/>
      <c r="E639" s="20"/>
      <c r="F639" s="5"/>
      <c r="G639" s="20"/>
      <c r="H639" s="132">
        <v>1</v>
      </c>
      <c r="I639" s="71" t="s">
        <v>234</v>
      </c>
      <c r="J639" s="254">
        <v>500</v>
      </c>
      <c r="K639" s="161">
        <f>SUM(H639*J639)</f>
        <v>500</v>
      </c>
      <c r="L639" s="248"/>
    </row>
    <row r="640" spans="1:12" ht="14.25">
      <c r="A640" s="46"/>
      <c r="B640" s="43"/>
      <c r="C640" s="256"/>
      <c r="D640" s="5"/>
      <c r="E640" s="20"/>
      <c r="F640" s="5"/>
      <c r="G640" s="20"/>
      <c r="H640" s="132"/>
      <c r="I640" s="71"/>
      <c r="J640" s="254"/>
      <c r="K640" s="161"/>
      <c r="L640" s="248"/>
    </row>
    <row r="641" spans="1:12" ht="33.75">
      <c r="A641" s="46">
        <f>A639+1</f>
        <v>170</v>
      </c>
      <c r="B641" s="43"/>
      <c r="C641" s="256" t="s">
        <v>186</v>
      </c>
      <c r="D641" s="5"/>
      <c r="E641" s="20"/>
      <c r="F641" s="5"/>
      <c r="G641" s="20"/>
      <c r="H641" s="132">
        <v>1</v>
      </c>
      <c r="I641" s="71" t="s">
        <v>234</v>
      </c>
      <c r="J641" s="254">
        <v>1300</v>
      </c>
      <c r="K641" s="161">
        <f>SUM(H641*J641)</f>
        <v>1300</v>
      </c>
      <c r="L641" s="248"/>
    </row>
    <row r="642" spans="1:12" ht="14.25">
      <c r="A642" s="46"/>
      <c r="B642" s="43"/>
      <c r="C642" s="256"/>
      <c r="D642" s="5"/>
      <c r="E642" s="20"/>
      <c r="F642" s="5"/>
      <c r="G642" s="20"/>
      <c r="H642" s="132"/>
      <c r="I642" s="71"/>
      <c r="J642" s="254"/>
      <c r="K642" s="161"/>
      <c r="L642" s="248"/>
    </row>
    <row r="643" spans="1:12" ht="22.5">
      <c r="A643" s="46">
        <f>A641+1</f>
        <v>171</v>
      </c>
      <c r="B643" s="43"/>
      <c r="C643" s="256" t="s">
        <v>187</v>
      </c>
      <c r="D643" s="5"/>
      <c r="E643" s="20"/>
      <c r="F643" s="5"/>
      <c r="G643" s="20"/>
      <c r="H643" s="132">
        <v>1</v>
      </c>
      <c r="I643" s="71" t="s">
        <v>234</v>
      </c>
      <c r="J643" s="254">
        <v>900</v>
      </c>
      <c r="K643" s="161">
        <f>SUM(H643*J643)</f>
        <v>900</v>
      </c>
      <c r="L643" s="248"/>
    </row>
    <row r="644" spans="1:12" ht="14.25">
      <c r="A644" s="46"/>
      <c r="B644" s="43"/>
      <c r="C644" s="256"/>
      <c r="D644" s="5"/>
      <c r="E644" s="20"/>
      <c r="F644" s="5"/>
      <c r="G644" s="20"/>
      <c r="H644" s="132"/>
      <c r="I644" s="71"/>
      <c r="J644" s="254"/>
      <c r="K644" s="161"/>
      <c r="L644" s="248"/>
    </row>
    <row r="645" spans="1:12" ht="33.75">
      <c r="A645" s="46">
        <f>A643+1</f>
        <v>172</v>
      </c>
      <c r="B645" s="43"/>
      <c r="C645" s="256" t="s">
        <v>188</v>
      </c>
      <c r="D645" s="5"/>
      <c r="E645" s="20"/>
      <c r="F645" s="5"/>
      <c r="G645" s="20"/>
      <c r="H645" s="132">
        <v>120</v>
      </c>
      <c r="I645" s="71" t="s">
        <v>251</v>
      </c>
      <c r="J645" s="254">
        <v>9</v>
      </c>
      <c r="K645" s="161">
        <f>SUM(H645*J645)</f>
        <v>1080</v>
      </c>
      <c r="L645" s="248"/>
    </row>
    <row r="646" spans="1:12" ht="14.25">
      <c r="A646" s="46"/>
      <c r="B646" s="43"/>
      <c r="C646" s="256"/>
      <c r="D646" s="5"/>
      <c r="E646" s="20"/>
      <c r="F646" s="5"/>
      <c r="G646" s="20"/>
      <c r="H646" s="132"/>
      <c r="I646" s="71"/>
      <c r="J646" s="254"/>
      <c r="K646" s="161"/>
      <c r="L646" s="248"/>
    </row>
    <row r="647" spans="1:12" ht="33.75">
      <c r="A647" s="46">
        <f>A645+1</f>
        <v>173</v>
      </c>
      <c r="B647" s="43"/>
      <c r="C647" s="256" t="s">
        <v>189</v>
      </c>
      <c r="D647" s="5"/>
      <c r="E647" s="20"/>
      <c r="F647" s="5"/>
      <c r="G647" s="20"/>
      <c r="H647" s="132">
        <v>1</v>
      </c>
      <c r="I647" s="71" t="s">
        <v>234</v>
      </c>
      <c r="J647" s="254">
        <v>2500</v>
      </c>
      <c r="K647" s="161">
        <f>SUM(H647*J647)</f>
        <v>2500</v>
      </c>
      <c r="L647" s="248"/>
    </row>
    <row r="648" spans="1:12" ht="14.25">
      <c r="A648" s="46"/>
      <c r="B648" s="43"/>
      <c r="C648" s="256"/>
      <c r="D648" s="5"/>
      <c r="E648" s="20"/>
      <c r="F648" s="5"/>
      <c r="G648" s="20"/>
      <c r="H648" s="132"/>
      <c r="I648" s="71"/>
      <c r="J648" s="254"/>
      <c r="K648" s="161"/>
      <c r="L648" s="248"/>
    </row>
    <row r="649" spans="1:12" ht="33.75">
      <c r="A649" s="46">
        <f>A647+1</f>
        <v>174</v>
      </c>
      <c r="B649" s="43"/>
      <c r="C649" s="256" t="s">
        <v>190</v>
      </c>
      <c r="D649" s="5"/>
      <c r="E649" s="20"/>
      <c r="F649" s="5"/>
      <c r="G649" s="20"/>
      <c r="H649" s="132">
        <v>2</v>
      </c>
      <c r="I649" s="71">
        <v>2</v>
      </c>
      <c r="J649" s="254">
        <v>1800</v>
      </c>
      <c r="K649" s="161">
        <f>SUM(H649*J649)</f>
        <v>3600</v>
      </c>
      <c r="L649" s="248"/>
    </row>
    <row r="650" spans="1:12" ht="14.25">
      <c r="A650" s="46"/>
      <c r="B650" s="43"/>
      <c r="C650" s="256"/>
      <c r="D650" s="5"/>
      <c r="E650" s="20"/>
      <c r="F650" s="5"/>
      <c r="G650" s="20"/>
      <c r="H650" s="132"/>
      <c r="I650" s="71"/>
      <c r="J650" s="254"/>
      <c r="K650" s="161"/>
      <c r="L650" s="248"/>
    </row>
    <row r="651" spans="1:12" ht="33.75">
      <c r="A651" s="46">
        <f>A649+1</f>
        <v>175</v>
      </c>
      <c r="B651" s="43"/>
      <c r="C651" s="256" t="s">
        <v>191</v>
      </c>
      <c r="D651" s="5"/>
      <c r="E651" s="20"/>
      <c r="F651" s="5"/>
      <c r="G651" s="20"/>
      <c r="H651" s="132">
        <v>1</v>
      </c>
      <c r="I651" s="71" t="s">
        <v>234</v>
      </c>
      <c r="J651" s="254">
        <v>1800</v>
      </c>
      <c r="K651" s="161">
        <f>SUM(H651*J651)</f>
        <v>1800</v>
      </c>
      <c r="L651" s="248"/>
    </row>
    <row r="652" spans="1:12" ht="14.25">
      <c r="A652" s="46"/>
      <c r="B652" s="43"/>
      <c r="C652" s="256"/>
      <c r="D652" s="5"/>
      <c r="E652" s="20"/>
      <c r="F652" s="5"/>
      <c r="G652" s="20"/>
      <c r="H652" s="132"/>
      <c r="I652" s="71"/>
      <c r="J652" s="254"/>
      <c r="K652" s="161"/>
      <c r="L652" s="248"/>
    </row>
    <row r="653" spans="1:12" ht="22.5">
      <c r="A653" s="46">
        <f>A651+1</f>
        <v>176</v>
      </c>
      <c r="B653" s="43"/>
      <c r="C653" s="256" t="s">
        <v>192</v>
      </c>
      <c r="D653" s="5"/>
      <c r="E653" s="20"/>
      <c r="F653" s="5"/>
      <c r="G653" s="20"/>
      <c r="H653" s="132">
        <v>1</v>
      </c>
      <c r="I653" s="71" t="s">
        <v>234</v>
      </c>
      <c r="J653" s="254">
        <v>3400</v>
      </c>
      <c r="K653" s="161">
        <f>SUM(H653*J653)</f>
        <v>3400</v>
      </c>
      <c r="L653" s="248"/>
    </row>
    <row r="654" spans="1:12" ht="14.25">
      <c r="A654" s="46"/>
      <c r="B654" s="43"/>
      <c r="C654" s="256"/>
      <c r="D654" s="5"/>
      <c r="E654" s="20"/>
      <c r="F654" s="5"/>
      <c r="G654" s="20"/>
      <c r="H654" s="132"/>
      <c r="I654" s="71"/>
      <c r="J654" s="254"/>
      <c r="K654" s="161"/>
      <c r="L654" s="248"/>
    </row>
    <row r="655" spans="1:12" ht="33.75">
      <c r="A655" s="46">
        <f>A653+1</f>
        <v>177</v>
      </c>
      <c r="B655" s="43"/>
      <c r="C655" s="256" t="s">
        <v>193</v>
      </c>
      <c r="D655" s="5"/>
      <c r="E655" s="20"/>
      <c r="F655" s="5"/>
      <c r="G655" s="20"/>
      <c r="H655" s="132">
        <v>1</v>
      </c>
      <c r="I655" s="71" t="s">
        <v>251</v>
      </c>
      <c r="J655" s="254">
        <v>1600</v>
      </c>
      <c r="K655" s="161">
        <f>SUM(H655*J655)</f>
        <v>1600</v>
      </c>
      <c r="L655" s="248"/>
    </row>
    <row r="656" spans="1:12" ht="14.25">
      <c r="A656" s="46"/>
      <c r="B656" s="43"/>
      <c r="C656" s="256"/>
      <c r="D656" s="5"/>
      <c r="E656" s="20"/>
      <c r="F656" s="5"/>
      <c r="G656" s="20"/>
      <c r="H656" s="132"/>
      <c r="I656" s="71"/>
      <c r="J656" s="254"/>
      <c r="K656" s="161"/>
      <c r="L656" s="248"/>
    </row>
    <row r="657" spans="1:12" ht="22.5">
      <c r="A657" s="46">
        <f>A655+1</f>
        <v>178</v>
      </c>
      <c r="B657" s="43"/>
      <c r="C657" s="256" t="s">
        <v>194</v>
      </c>
      <c r="D657" s="5"/>
      <c r="E657" s="20"/>
      <c r="F657" s="5"/>
      <c r="G657" s="20"/>
      <c r="H657" s="132">
        <v>3</v>
      </c>
      <c r="I657" s="71" t="s">
        <v>251</v>
      </c>
      <c r="J657" s="254">
        <v>250</v>
      </c>
      <c r="K657" s="161">
        <f>SUM(H657*J657)</f>
        <v>750</v>
      </c>
      <c r="L657" s="248"/>
    </row>
    <row r="658" spans="1:12" ht="14.25">
      <c r="A658" s="46"/>
      <c r="B658" s="43"/>
      <c r="C658" s="256"/>
      <c r="D658" s="5"/>
      <c r="E658" s="20"/>
      <c r="F658" s="5"/>
      <c r="G658" s="20"/>
      <c r="H658" s="132"/>
      <c r="I658" s="71"/>
      <c r="J658" s="254"/>
      <c r="K658" s="161"/>
      <c r="L658" s="248"/>
    </row>
    <row r="659" spans="1:12" ht="22.5">
      <c r="A659" s="46">
        <v>179</v>
      </c>
      <c r="B659" s="43"/>
      <c r="C659" s="256" t="s">
        <v>167</v>
      </c>
      <c r="D659" s="5"/>
      <c r="E659" s="20"/>
      <c r="F659" s="5"/>
      <c r="G659" s="20"/>
      <c r="H659" s="132">
        <v>1</v>
      </c>
      <c r="I659" s="71" t="s">
        <v>251</v>
      </c>
      <c r="J659" s="254">
        <v>500</v>
      </c>
      <c r="K659" s="161">
        <f>SUM(H659*J659)</f>
        <v>500</v>
      </c>
      <c r="L659" s="248"/>
    </row>
    <row r="660" spans="1:12" ht="14.25">
      <c r="A660" s="46"/>
      <c r="B660" s="43"/>
      <c r="C660" s="256"/>
      <c r="D660" s="5"/>
      <c r="E660" s="20"/>
      <c r="F660" s="5"/>
      <c r="G660" s="20"/>
      <c r="H660" s="132"/>
      <c r="I660" s="71"/>
      <c r="J660" s="254"/>
      <c r="K660" s="161"/>
      <c r="L660" s="248"/>
    </row>
    <row r="661" spans="1:12" ht="22.5">
      <c r="A661" s="46">
        <v>180</v>
      </c>
      <c r="B661" s="43"/>
      <c r="C661" s="256" t="s">
        <v>172</v>
      </c>
      <c r="D661" s="5"/>
      <c r="E661" s="20"/>
      <c r="F661" s="5"/>
      <c r="G661" s="20"/>
      <c r="H661" s="132">
        <v>1</v>
      </c>
      <c r="I661" s="71" t="s">
        <v>234</v>
      </c>
      <c r="J661" s="254">
        <v>3200</v>
      </c>
      <c r="K661" s="161">
        <f>SUM(H661*J661)</f>
        <v>3200</v>
      </c>
      <c r="L661" s="248"/>
    </row>
    <row r="662" spans="1:12" ht="14.25">
      <c r="A662" s="46"/>
      <c r="B662" s="43"/>
      <c r="C662" s="256"/>
      <c r="D662" s="5"/>
      <c r="E662" s="20"/>
      <c r="F662" s="5"/>
      <c r="G662" s="20"/>
      <c r="H662" s="132"/>
      <c r="I662" s="71"/>
      <c r="J662" s="254"/>
      <c r="K662" s="161"/>
      <c r="L662" s="248"/>
    </row>
    <row r="663" spans="1:12" ht="33.75">
      <c r="A663" s="46">
        <f>A661+1</f>
        <v>181</v>
      </c>
      <c r="B663" s="43"/>
      <c r="C663" s="256" t="s">
        <v>168</v>
      </c>
      <c r="D663" s="5"/>
      <c r="E663" s="20"/>
      <c r="F663" s="5"/>
      <c r="G663" s="20"/>
      <c r="H663" s="132">
        <v>1</v>
      </c>
      <c r="I663" s="71" t="s">
        <v>234</v>
      </c>
      <c r="J663" s="254">
        <v>1300</v>
      </c>
      <c r="K663" s="161">
        <f>SUM(H663*J663)</f>
        <v>1300</v>
      </c>
      <c r="L663" s="248"/>
    </row>
    <row r="664" spans="1:12" ht="14.25">
      <c r="A664" s="46"/>
      <c r="B664" s="43"/>
      <c r="C664" s="256"/>
      <c r="D664" s="5"/>
      <c r="E664" s="20"/>
      <c r="F664" s="5"/>
      <c r="G664" s="20"/>
      <c r="H664" s="132"/>
      <c r="I664" s="71"/>
      <c r="J664" s="254"/>
      <c r="K664" s="161"/>
      <c r="L664" s="248"/>
    </row>
    <row r="665" spans="1:12" ht="22.5">
      <c r="A665" s="46">
        <f>A663+1</f>
        <v>182</v>
      </c>
      <c r="B665" s="43"/>
      <c r="C665" s="256" t="s">
        <v>171</v>
      </c>
      <c r="D665" s="5"/>
      <c r="E665" s="20"/>
      <c r="F665" s="5"/>
      <c r="G665" s="20"/>
      <c r="H665" s="132">
        <v>1</v>
      </c>
      <c r="I665" s="71" t="s">
        <v>234</v>
      </c>
      <c r="J665" s="254">
        <v>1000</v>
      </c>
      <c r="K665" s="161">
        <f>SUM(H665*J665)</f>
        <v>1000</v>
      </c>
      <c r="L665" s="248"/>
    </row>
    <row r="666" spans="1:12" ht="14.25">
      <c r="A666" s="46"/>
      <c r="B666" s="43"/>
      <c r="C666" s="256"/>
      <c r="D666" s="5"/>
      <c r="E666" s="20"/>
      <c r="F666" s="5"/>
      <c r="G666" s="20"/>
      <c r="H666" s="132"/>
      <c r="I666" s="71"/>
      <c r="J666" s="254"/>
      <c r="K666" s="161"/>
      <c r="L666" s="248"/>
    </row>
    <row r="667" spans="1:12" ht="22.5">
      <c r="A667" s="46">
        <f>A665+1</f>
        <v>183</v>
      </c>
      <c r="B667" s="43"/>
      <c r="C667" s="256" t="s">
        <v>211</v>
      </c>
      <c r="D667" s="5"/>
      <c r="E667" s="20"/>
      <c r="F667" s="5"/>
      <c r="G667" s="20"/>
      <c r="H667" s="132">
        <v>2</v>
      </c>
      <c r="I667" s="71" t="s">
        <v>251</v>
      </c>
      <c r="J667" s="254">
        <v>100</v>
      </c>
      <c r="K667" s="161">
        <f>SUM(H667*J667)</f>
        <v>200</v>
      </c>
      <c r="L667" s="248"/>
    </row>
    <row r="668" spans="1:12" ht="14.25">
      <c r="A668" s="46"/>
      <c r="B668" s="43"/>
      <c r="C668" s="256"/>
      <c r="D668" s="5"/>
      <c r="E668" s="20"/>
      <c r="F668" s="5"/>
      <c r="G668" s="20"/>
      <c r="H668" s="132"/>
      <c r="I668" s="71"/>
      <c r="J668" s="254"/>
      <c r="K668" s="161"/>
      <c r="L668" s="248"/>
    </row>
    <row r="669" spans="1:12" ht="22.5">
      <c r="A669" s="46">
        <f>A667+1</f>
        <v>184</v>
      </c>
      <c r="B669" s="43"/>
      <c r="C669" s="256" t="s">
        <v>169</v>
      </c>
      <c r="D669" s="5"/>
      <c r="E669" s="20"/>
      <c r="F669" s="5"/>
      <c r="G669" s="20"/>
      <c r="H669" s="132">
        <v>1</v>
      </c>
      <c r="I669" s="71" t="s">
        <v>251</v>
      </c>
      <c r="J669" s="254">
        <v>200</v>
      </c>
      <c r="K669" s="161">
        <f>SUM(H669*J669)</f>
        <v>200</v>
      </c>
      <c r="L669" s="248"/>
    </row>
    <row r="670" spans="1:12" ht="14.25">
      <c r="A670" s="46"/>
      <c r="B670" s="43"/>
      <c r="C670" s="256"/>
      <c r="D670" s="5"/>
      <c r="E670" s="20"/>
      <c r="F670" s="5"/>
      <c r="G670" s="20"/>
      <c r="H670" s="132"/>
      <c r="I670" s="71"/>
      <c r="J670" s="254"/>
      <c r="K670" s="161"/>
      <c r="L670" s="248"/>
    </row>
    <row r="671" spans="1:12" ht="45">
      <c r="A671" s="46">
        <f>A669+1</f>
        <v>185</v>
      </c>
      <c r="B671" s="43"/>
      <c r="C671" s="256" t="s">
        <v>170</v>
      </c>
      <c r="D671" s="5"/>
      <c r="E671" s="20"/>
      <c r="F671" s="5"/>
      <c r="G671" s="20"/>
      <c r="H671" s="132">
        <v>1</v>
      </c>
      <c r="I671" s="71" t="s">
        <v>234</v>
      </c>
      <c r="J671" s="254">
        <v>1900</v>
      </c>
      <c r="K671" s="161">
        <f>SUM(H671*J671)</f>
        <v>1900</v>
      </c>
      <c r="L671" s="248"/>
    </row>
    <row r="672" spans="1:12" ht="14.25">
      <c r="A672" s="46"/>
      <c r="B672" s="43"/>
      <c r="C672" s="256"/>
      <c r="D672" s="5"/>
      <c r="E672" s="20"/>
      <c r="F672" s="5"/>
      <c r="G672" s="20"/>
      <c r="H672" s="132"/>
      <c r="I672" s="71"/>
      <c r="J672" s="254"/>
      <c r="K672" s="161"/>
      <c r="L672" s="248"/>
    </row>
    <row r="673" spans="1:12" ht="33.75">
      <c r="A673" s="46">
        <f>A671+1</f>
        <v>186</v>
      </c>
      <c r="B673" s="43"/>
      <c r="C673" s="256" t="s">
        <v>210</v>
      </c>
      <c r="D673" s="5"/>
      <c r="E673" s="20"/>
      <c r="F673" s="5"/>
      <c r="G673" s="20"/>
      <c r="H673" s="132">
        <v>1</v>
      </c>
      <c r="I673" s="71" t="s">
        <v>251</v>
      </c>
      <c r="J673" s="254">
        <v>1600</v>
      </c>
      <c r="K673" s="161">
        <f>SUM(H673*J673)</f>
        <v>1600</v>
      </c>
      <c r="L673" s="248"/>
    </row>
    <row r="674" spans="1:12" ht="14.25">
      <c r="A674" s="46"/>
      <c r="B674" s="43"/>
      <c r="C674" s="256"/>
      <c r="D674" s="5"/>
      <c r="E674" s="20"/>
      <c r="F674" s="5"/>
      <c r="G674" s="20"/>
      <c r="H674" s="132"/>
      <c r="I674" s="71"/>
      <c r="J674" s="254"/>
      <c r="K674" s="161"/>
      <c r="L674" s="248"/>
    </row>
    <row r="675" spans="1:12" ht="22.5">
      <c r="A675" s="46">
        <f>A673+1</f>
        <v>187</v>
      </c>
      <c r="B675" s="43"/>
      <c r="C675" s="256" t="s">
        <v>209</v>
      </c>
      <c r="D675" s="5"/>
      <c r="E675" s="20"/>
      <c r="F675" s="5"/>
      <c r="G675" s="20"/>
      <c r="H675" s="132">
        <v>2</v>
      </c>
      <c r="I675" s="71" t="s">
        <v>251</v>
      </c>
      <c r="J675" s="254">
        <v>900</v>
      </c>
      <c r="K675" s="161">
        <f>SUM(H675*J675)</f>
        <v>1800</v>
      </c>
      <c r="L675" s="248"/>
    </row>
    <row r="676" spans="1:12" ht="14.25">
      <c r="A676" s="46"/>
      <c r="B676" s="43"/>
      <c r="C676" s="256"/>
      <c r="D676" s="5"/>
      <c r="E676" s="20"/>
      <c r="F676" s="5"/>
      <c r="G676" s="20"/>
      <c r="H676" s="132"/>
      <c r="I676" s="71"/>
      <c r="J676" s="254"/>
      <c r="K676" s="161"/>
      <c r="L676" s="248"/>
    </row>
    <row r="677" spans="1:12" ht="22.5">
      <c r="A677" s="46">
        <f>A675+1</f>
        <v>188</v>
      </c>
      <c r="B677" s="43"/>
      <c r="C677" s="256" t="s">
        <v>208</v>
      </c>
      <c r="D677" s="5"/>
      <c r="E677" s="20"/>
      <c r="F677" s="5"/>
      <c r="G677" s="20"/>
      <c r="H677" s="132">
        <v>1</v>
      </c>
      <c r="I677" s="71" t="s">
        <v>234</v>
      </c>
      <c r="J677" s="254">
        <v>1600</v>
      </c>
      <c r="K677" s="161">
        <f>SUM(H677*J677)</f>
        <v>1600</v>
      </c>
      <c r="L677" s="248"/>
    </row>
    <row r="678" spans="1:12" ht="14.25">
      <c r="A678" s="46"/>
      <c r="B678" s="43"/>
      <c r="C678" s="256"/>
      <c r="D678" s="5"/>
      <c r="E678" s="20"/>
      <c r="F678" s="5"/>
      <c r="G678" s="20"/>
      <c r="H678" s="132"/>
      <c r="I678" s="71"/>
      <c r="J678" s="254"/>
      <c r="K678" s="161"/>
      <c r="L678" s="248"/>
    </row>
    <row r="679" spans="1:12" ht="33.75">
      <c r="A679" s="46">
        <f>A677+1</f>
        <v>189</v>
      </c>
      <c r="B679" s="43"/>
      <c r="C679" s="256" t="s">
        <v>206</v>
      </c>
      <c r="D679" s="5"/>
      <c r="E679" s="20"/>
      <c r="F679" s="5"/>
      <c r="G679" s="20"/>
      <c r="H679" s="132">
        <v>1</v>
      </c>
      <c r="I679" s="71" t="s">
        <v>234</v>
      </c>
      <c r="J679" s="254">
        <v>2000</v>
      </c>
      <c r="K679" s="161">
        <f>SUM(H679*J679)</f>
        <v>2000</v>
      </c>
      <c r="L679" s="248"/>
    </row>
    <row r="680" spans="1:12" ht="14.25">
      <c r="A680" s="46"/>
      <c r="B680" s="43"/>
      <c r="C680" s="256"/>
      <c r="D680" s="5"/>
      <c r="E680" s="20"/>
      <c r="F680" s="5"/>
      <c r="G680" s="20"/>
      <c r="H680" s="132"/>
      <c r="I680" s="71"/>
      <c r="J680" s="254"/>
      <c r="K680" s="161"/>
      <c r="L680" s="248"/>
    </row>
    <row r="681" spans="1:12" ht="33.75">
      <c r="A681" s="46">
        <f>A679+1</f>
        <v>190</v>
      </c>
      <c r="B681" s="43"/>
      <c r="C681" s="256" t="s">
        <v>207</v>
      </c>
      <c r="D681" s="5"/>
      <c r="E681" s="20"/>
      <c r="F681" s="5"/>
      <c r="G681" s="20"/>
      <c r="H681" s="132">
        <v>1</v>
      </c>
      <c r="I681" s="71" t="s">
        <v>234</v>
      </c>
      <c r="J681" s="254">
        <v>1500</v>
      </c>
      <c r="K681" s="161">
        <f>SUM(H681*J681)</f>
        <v>1500</v>
      </c>
      <c r="L681" s="248"/>
    </row>
    <row r="682" spans="1:12" ht="14.25">
      <c r="A682" s="46"/>
      <c r="B682" s="43"/>
      <c r="C682" s="256"/>
      <c r="D682" s="5"/>
      <c r="E682" s="20"/>
      <c r="F682" s="5"/>
      <c r="G682" s="20"/>
      <c r="H682" s="132"/>
      <c r="I682" s="71"/>
      <c r="J682" s="254"/>
      <c r="K682" s="161"/>
      <c r="L682" s="248"/>
    </row>
    <row r="683" spans="1:12" ht="33.75">
      <c r="A683" s="46">
        <f>A681+1</f>
        <v>191</v>
      </c>
      <c r="B683" s="43"/>
      <c r="C683" s="256" t="s">
        <v>205</v>
      </c>
      <c r="D683" s="5"/>
      <c r="E683" s="20"/>
      <c r="F683" s="5"/>
      <c r="G683" s="20"/>
      <c r="H683" s="132">
        <v>1</v>
      </c>
      <c r="I683" s="71" t="s">
        <v>234</v>
      </c>
      <c r="J683" s="254">
        <v>850</v>
      </c>
      <c r="K683" s="161">
        <f>SUM(H683*J683)</f>
        <v>850</v>
      </c>
      <c r="L683" s="248"/>
    </row>
    <row r="684" spans="1:12" ht="14.25">
      <c r="A684" s="46"/>
      <c r="B684" s="43"/>
      <c r="C684" s="256"/>
      <c r="D684" s="5"/>
      <c r="E684" s="20"/>
      <c r="F684" s="5"/>
      <c r="G684" s="20"/>
      <c r="H684" s="132"/>
      <c r="I684" s="71"/>
      <c r="J684" s="254"/>
      <c r="K684" s="161"/>
      <c r="L684" s="248"/>
    </row>
    <row r="685" spans="1:12" ht="33.75">
      <c r="A685" s="46">
        <f>A683+1</f>
        <v>192</v>
      </c>
      <c r="B685" s="43"/>
      <c r="C685" s="256" t="s">
        <v>204</v>
      </c>
      <c r="D685" s="5"/>
      <c r="E685" s="20"/>
      <c r="F685" s="5"/>
      <c r="G685" s="20"/>
      <c r="H685" s="132">
        <v>1</v>
      </c>
      <c r="I685" s="71" t="s">
        <v>251</v>
      </c>
      <c r="J685" s="254">
        <v>350</v>
      </c>
      <c r="K685" s="161">
        <f>SUM(H685*J685)</f>
        <v>350</v>
      </c>
      <c r="L685" s="248"/>
    </row>
    <row r="686" spans="1:12" ht="14.25">
      <c r="A686" s="46"/>
      <c r="B686" s="43"/>
      <c r="C686" s="256"/>
      <c r="D686" s="5"/>
      <c r="E686" s="20"/>
      <c r="F686" s="5"/>
      <c r="G686" s="20"/>
      <c r="H686" s="132"/>
      <c r="I686" s="71"/>
      <c r="J686" s="254"/>
      <c r="K686" s="161"/>
      <c r="L686" s="248"/>
    </row>
    <row r="687" spans="1:12" ht="22.5">
      <c r="A687" s="46">
        <f>A685+1</f>
        <v>193</v>
      </c>
      <c r="B687" s="43"/>
      <c r="C687" s="256" t="s">
        <v>203</v>
      </c>
      <c r="D687" s="5"/>
      <c r="E687" s="20"/>
      <c r="F687" s="5"/>
      <c r="G687" s="20"/>
      <c r="H687" s="132">
        <v>2</v>
      </c>
      <c r="I687" s="71" t="s">
        <v>251</v>
      </c>
      <c r="J687" s="254">
        <v>400</v>
      </c>
      <c r="K687" s="161">
        <f>SUM(H687*J687)</f>
        <v>800</v>
      </c>
      <c r="L687" s="250"/>
    </row>
    <row r="688" spans="1:11" ht="25.5" customHeight="1">
      <c r="A688" s="273"/>
      <c r="B688" s="274"/>
      <c r="C688" s="275"/>
      <c r="D688" s="276"/>
      <c r="E688" s="339" t="s">
        <v>326</v>
      </c>
      <c r="F688" s="340"/>
      <c r="G688" s="340"/>
      <c r="H688" s="340"/>
      <c r="I688" s="341"/>
      <c r="J688" s="277"/>
      <c r="K688" s="278">
        <f>SUM(K7:K687)</f>
        <v>1600000.0008600003</v>
      </c>
    </row>
    <row r="691" spans="1:12" ht="25.5" customHeight="1">
      <c r="A691" s="217"/>
      <c r="B691" s="219"/>
      <c r="C691" s="220"/>
      <c r="D691" s="221"/>
      <c r="E691" s="221"/>
      <c r="F691" s="221"/>
      <c r="G691" s="221"/>
      <c r="H691" s="222"/>
      <c r="I691" s="223"/>
      <c r="J691" s="224"/>
      <c r="K691" s="224"/>
      <c r="L691" s="94"/>
    </row>
    <row r="692" spans="1:12" ht="25.5" customHeight="1">
      <c r="A692" s="217"/>
      <c r="B692" s="219"/>
      <c r="C692" s="225"/>
      <c r="D692" s="218"/>
      <c r="E692" s="218"/>
      <c r="F692" s="218"/>
      <c r="G692" s="221"/>
      <c r="H692" s="221"/>
      <c r="I692" s="223"/>
      <c r="J692" s="226"/>
      <c r="K692" s="227"/>
      <c r="L692" s="94"/>
    </row>
    <row r="693" spans="1:12" ht="12.75">
      <c r="A693" s="217"/>
      <c r="B693" s="219"/>
      <c r="C693" s="228"/>
      <c r="D693" s="218"/>
      <c r="E693" s="218"/>
      <c r="F693" s="218"/>
      <c r="G693" s="221"/>
      <c r="H693" s="221"/>
      <c r="I693" s="223"/>
      <c r="J693" s="226"/>
      <c r="K693" s="227"/>
      <c r="L693" s="94"/>
    </row>
    <row r="694" spans="1:12" ht="25.5" customHeight="1">
      <c r="A694" s="217"/>
      <c r="B694" s="219"/>
      <c r="C694" s="229"/>
      <c r="D694" s="218"/>
      <c r="E694" s="218"/>
      <c r="F694" s="218"/>
      <c r="G694" s="221"/>
      <c r="H694" s="221"/>
      <c r="I694" s="223"/>
      <c r="J694" s="224"/>
      <c r="K694" s="227"/>
      <c r="L694" s="94"/>
    </row>
    <row r="695" spans="1:12" ht="12.75">
      <c r="A695" s="217"/>
      <c r="B695" s="219"/>
      <c r="C695" s="228"/>
      <c r="D695" s="218"/>
      <c r="E695" s="218"/>
      <c r="F695" s="218"/>
      <c r="G695" s="221"/>
      <c r="H695" s="221"/>
      <c r="I695" s="223"/>
      <c r="J695" s="227"/>
      <c r="K695" s="227"/>
      <c r="L695" s="94"/>
    </row>
    <row r="696" spans="1:12" ht="25.5" customHeight="1">
      <c r="A696" s="217"/>
      <c r="B696" s="219"/>
      <c r="C696" s="230"/>
      <c r="D696" s="218"/>
      <c r="E696" s="218"/>
      <c r="F696" s="218"/>
      <c r="G696" s="221"/>
      <c r="H696" s="222"/>
      <c r="I696" s="223"/>
      <c r="J696" s="227"/>
      <c r="K696" s="227"/>
      <c r="L696" s="94"/>
    </row>
    <row r="697" spans="1:12" ht="25.5" customHeight="1">
      <c r="A697" s="217"/>
      <c r="B697" s="219"/>
      <c r="C697" s="230"/>
      <c r="D697" s="218"/>
      <c r="E697" s="218"/>
      <c r="F697" s="218"/>
      <c r="G697" s="221"/>
      <c r="H697" s="231"/>
      <c r="I697" s="223"/>
      <c r="J697" s="227"/>
      <c r="K697" s="227"/>
      <c r="L697" s="94"/>
    </row>
    <row r="698" spans="1:12" ht="25.5" customHeight="1">
      <c r="A698" s="217"/>
      <c r="B698" s="219"/>
      <c r="C698" s="230"/>
      <c r="D698" s="218"/>
      <c r="E698" s="218"/>
      <c r="F698" s="218"/>
      <c r="G698" s="221"/>
      <c r="H698" s="231"/>
      <c r="I698" s="223"/>
      <c r="J698" s="227"/>
      <c r="K698" s="227"/>
      <c r="L698" s="94"/>
    </row>
    <row r="699" spans="1:12" ht="25.5" customHeight="1">
      <c r="A699" s="217"/>
      <c r="B699" s="219"/>
      <c r="C699" s="230"/>
      <c r="D699" s="218"/>
      <c r="E699" s="218"/>
      <c r="F699" s="218"/>
      <c r="G699" s="221"/>
      <c r="H699" s="231"/>
      <c r="I699" s="223"/>
      <c r="J699" s="227"/>
      <c r="K699" s="227"/>
      <c r="L699" s="94"/>
    </row>
    <row r="700" spans="1:12" ht="25.5" customHeight="1">
      <c r="A700" s="217"/>
      <c r="B700" s="219"/>
      <c r="C700" s="230"/>
      <c r="D700" s="218"/>
      <c r="E700" s="218"/>
      <c r="F700" s="218"/>
      <c r="G700" s="221"/>
      <c r="H700" s="231"/>
      <c r="I700" s="223"/>
      <c r="J700" s="227"/>
      <c r="K700" s="227"/>
      <c r="L700" s="94"/>
    </row>
    <row r="701" spans="1:12" ht="25.5" customHeight="1">
      <c r="A701" s="217"/>
      <c r="B701" s="219"/>
      <c r="C701" s="220"/>
      <c r="D701" s="221"/>
      <c r="E701" s="221"/>
      <c r="F701" s="221"/>
      <c r="G701" s="221"/>
      <c r="H701" s="222"/>
      <c r="I701" s="223"/>
      <c r="J701" s="224"/>
      <c r="K701" s="224"/>
      <c r="L701" s="94"/>
    </row>
    <row r="702" spans="1:12" ht="25.5" customHeight="1">
      <c r="A702" s="217"/>
      <c r="B702" s="219"/>
      <c r="C702" s="220"/>
      <c r="D702" s="221"/>
      <c r="E702" s="221"/>
      <c r="F702" s="221"/>
      <c r="G702" s="221"/>
      <c r="H702" s="222"/>
      <c r="I702" s="223"/>
      <c r="J702" s="224"/>
      <c r="K702" s="224"/>
      <c r="L702" s="94"/>
    </row>
    <row r="703" spans="1:12" ht="25.5" customHeight="1">
      <c r="A703" s="217"/>
      <c r="B703" s="219"/>
      <c r="C703" s="220"/>
      <c r="D703" s="221"/>
      <c r="E703" s="221"/>
      <c r="F703" s="221"/>
      <c r="G703" s="221"/>
      <c r="H703" s="222"/>
      <c r="I703" s="223"/>
      <c r="J703" s="224"/>
      <c r="K703" s="224"/>
      <c r="L703" s="94"/>
    </row>
  </sheetData>
  <sheetProtection/>
  <mergeCells count="28">
    <mergeCell ref="E688:I688"/>
    <mergeCell ref="B97:B101"/>
    <mergeCell ref="B102:B113"/>
    <mergeCell ref="B128:B132"/>
    <mergeCell ref="B134:B145"/>
    <mergeCell ref="B86:B88"/>
    <mergeCell ref="B76:B79"/>
    <mergeCell ref="B67:B70"/>
    <mergeCell ref="B71:B75"/>
    <mergeCell ref="C71:C73"/>
    <mergeCell ref="B83:B85"/>
    <mergeCell ref="B92:B93"/>
    <mergeCell ref="B62:B66"/>
    <mergeCell ref="C62:C64"/>
    <mergeCell ref="K4:K5"/>
    <mergeCell ref="B48:B50"/>
    <mergeCell ref="B51:B53"/>
    <mergeCell ref="J4:J5"/>
    <mergeCell ref="G4:H4"/>
    <mergeCell ref="I4:I5"/>
    <mergeCell ref="A1:K2"/>
    <mergeCell ref="C3:G3"/>
    <mergeCell ref="A4:A5"/>
    <mergeCell ref="B4:B5"/>
    <mergeCell ref="C4:C5"/>
    <mergeCell ref="D4:D5"/>
    <mergeCell ref="E4:E5"/>
    <mergeCell ref="F4:F5"/>
  </mergeCells>
  <printOptions/>
  <pageMargins left="0.23" right="0.24"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VICO COMPUTO METRICO ESTIMATIVO</dc:title>
  <dc:subject/>
  <dc:creator>Ing. Michele Rigoli</dc:creator>
  <cp:keywords/>
  <dc:description/>
  <cp:lastModifiedBy>Utente Windows</cp:lastModifiedBy>
  <cp:lastPrinted>2011-10-10T12:21:17Z</cp:lastPrinted>
  <dcterms:created xsi:type="dcterms:W3CDTF">1998-07-16T12:50:24Z</dcterms:created>
  <dcterms:modified xsi:type="dcterms:W3CDTF">2011-12-06T11:12:45Z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y fmtid="{D5CDD505-2E9C-101B-9397-08002B2CF9AE}" pid="3" name="GuiIdItemRett2TempiEsi">
    <vt:lpwstr>2f63915e-1ecc-4791-b96f-45a161d1808b</vt:lpwstr>
  </property>
  <property fmtid="{D5CDD505-2E9C-101B-9397-08002B2CF9AE}" pid="4" name="GuiIdGa">
    <vt:lpwstr>b2ae3ab7-ced6-4c27-8009-c62bb49fa466</vt:lpwstr>
  </property>
  <property fmtid="{D5CDD505-2E9C-101B-9397-08002B2CF9AE}" pid="5" name="xd_Signatu">
    <vt:lpwstr/>
  </property>
  <property fmtid="{D5CDD505-2E9C-101B-9397-08002B2CF9AE}" pid="6" name="TemplateU">
    <vt:lpwstr/>
  </property>
  <property fmtid="{D5CDD505-2E9C-101B-9397-08002B2CF9AE}" pid="7" name="xd_Prog">
    <vt:lpwstr/>
  </property>
  <property fmtid="{D5CDD505-2E9C-101B-9397-08002B2CF9AE}" pid="8" name="PesoElemen">
    <vt:lpwstr/>
  </property>
  <property fmtid="{D5CDD505-2E9C-101B-9397-08002B2CF9AE}" pid="9" name="Ord">
    <vt:lpwstr>110500.000000000</vt:lpwstr>
  </property>
  <property fmtid="{D5CDD505-2E9C-101B-9397-08002B2CF9AE}" pid="10" name="_SourceU">
    <vt:lpwstr/>
  </property>
  <property fmtid="{D5CDD505-2E9C-101B-9397-08002B2CF9AE}" pid="11" name="_SharedFileInd">
    <vt:lpwstr/>
  </property>
</Properties>
</file>