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direzioniregionali.inpdap.gov.it/DRveneto/uffcoord/Ufficio_Gare/ACCORDO QUADRO VARI 2018/ACCORDO QUADRO ELETTRICO/ELABORATI DI GARA (IN VERDE LE MODIFICHE IN GIALLO DA DECIDERE)/"/>
    </mc:Choice>
  </mc:AlternateContent>
  <bookViews>
    <workbookView xWindow="0" yWindow="0" windowWidth="28800" windowHeight="12435"/>
  </bookViews>
  <sheets>
    <sheet name="Immobile" sheetId="1" r:id="rId1"/>
  </sheets>
  <calcPr calcId="152511"/>
</workbook>
</file>

<file path=xl/calcChain.xml><?xml version="1.0" encoding="utf-8"?>
<calcChain xmlns="http://schemas.openxmlformats.org/spreadsheetml/2006/main">
  <c r="AQ44" i="1" l="1"/>
  <c r="AB44" i="1"/>
  <c r="AA44" i="1"/>
  <c r="N44" i="1"/>
  <c r="J44" i="1"/>
  <c r="I44" i="1"/>
  <c r="H44" i="1"/>
  <c r="G44" i="1"/>
  <c r="E44" i="1"/>
  <c r="AQ13" i="1"/>
  <c r="AB13" i="1"/>
  <c r="N13" i="1"/>
  <c r="J13" i="1"/>
  <c r="I13" i="1"/>
  <c r="H13" i="1"/>
  <c r="G13" i="1"/>
  <c r="E13" i="1"/>
  <c r="B13" i="1"/>
  <c r="A13" i="1"/>
  <c r="E49" i="1" l="1"/>
  <c r="F40" i="1"/>
  <c r="E7" i="1" l="1"/>
  <c r="E38" i="1"/>
  <c r="AQ37" i="1" l="1"/>
  <c r="AQ55" i="1" l="1"/>
  <c r="AB55" i="1"/>
  <c r="AA55" i="1"/>
  <c r="N55" i="1"/>
  <c r="J55" i="1"/>
  <c r="I55" i="1"/>
  <c r="H55" i="1"/>
  <c r="G55" i="1"/>
  <c r="B55" i="1"/>
  <c r="A55" i="1"/>
  <c r="AQ54" i="1"/>
  <c r="AD54" i="1"/>
  <c r="AC54" i="1"/>
  <c r="AB54" i="1"/>
  <c r="AA54" i="1"/>
  <c r="N54" i="1"/>
  <c r="J54" i="1"/>
  <c r="I54" i="1"/>
  <c r="H54" i="1"/>
  <c r="G54" i="1"/>
  <c r="F54" i="1"/>
  <c r="E54" i="1"/>
  <c r="C54" i="1"/>
  <c r="B54" i="1"/>
  <c r="A54" i="1"/>
  <c r="AQ53" i="1"/>
  <c r="AD53" i="1"/>
  <c r="AC53" i="1"/>
  <c r="AB53" i="1"/>
  <c r="U53" i="1"/>
  <c r="S53" i="1"/>
  <c r="N53" i="1"/>
  <c r="J53" i="1"/>
  <c r="I53" i="1"/>
  <c r="H53" i="1"/>
  <c r="G53" i="1"/>
  <c r="C53" i="1"/>
  <c r="B53" i="1"/>
  <c r="A53" i="1"/>
  <c r="AQ52" i="1"/>
  <c r="AD52" i="1"/>
  <c r="AC52" i="1"/>
  <c r="AB52" i="1"/>
  <c r="AA52" i="1"/>
  <c r="U52" i="1"/>
  <c r="S52" i="1"/>
  <c r="N52" i="1"/>
  <c r="J52" i="1"/>
  <c r="I52" i="1"/>
  <c r="H52" i="1"/>
  <c r="G52" i="1"/>
  <c r="E52" i="1"/>
  <c r="C52" i="1"/>
  <c r="B52" i="1"/>
  <c r="A52" i="1"/>
  <c r="AQ51" i="1"/>
  <c r="AB51" i="1"/>
  <c r="AA51" i="1"/>
  <c r="R51" i="1"/>
  <c r="Q51" i="1"/>
  <c r="O51" i="1"/>
  <c r="J51" i="1"/>
  <c r="I51" i="1"/>
  <c r="H51" i="1"/>
  <c r="F51" i="1"/>
  <c r="E51" i="1"/>
  <c r="B51" i="1"/>
  <c r="A51" i="1"/>
  <c r="AQ49" i="1"/>
  <c r="AB49" i="1"/>
  <c r="AA49" i="1"/>
  <c r="U49" i="1"/>
  <c r="S49" i="1"/>
  <c r="N49" i="1"/>
  <c r="J49" i="1"/>
  <c r="I49" i="1"/>
  <c r="H49" i="1"/>
  <c r="G49" i="1"/>
  <c r="B49" i="1"/>
  <c r="A49" i="1"/>
  <c r="AQ48" i="1"/>
  <c r="AD48" i="1"/>
  <c r="AC48" i="1"/>
  <c r="AB48" i="1"/>
  <c r="AA48" i="1"/>
  <c r="S48" i="1"/>
  <c r="N48" i="1"/>
  <c r="L48" i="1"/>
  <c r="J48" i="1"/>
  <c r="I48" i="1"/>
  <c r="H48" i="1"/>
  <c r="G48" i="1"/>
  <c r="F48" i="1"/>
  <c r="C48" i="1"/>
  <c r="B48" i="1"/>
  <c r="A48" i="1"/>
  <c r="AD47" i="1"/>
  <c r="AC47" i="1"/>
  <c r="AB47" i="1"/>
  <c r="AA47" i="1"/>
  <c r="N47" i="1"/>
  <c r="J47" i="1"/>
  <c r="I47" i="1"/>
  <c r="H47" i="1"/>
  <c r="E47" i="1"/>
  <c r="C47" i="1"/>
  <c r="B47" i="1"/>
  <c r="A47" i="1"/>
  <c r="AD46" i="1"/>
  <c r="AC46" i="1"/>
  <c r="AB46" i="1"/>
  <c r="N46" i="1"/>
  <c r="J46" i="1"/>
  <c r="I46" i="1"/>
  <c r="H46" i="1"/>
  <c r="G46" i="1"/>
  <c r="E46" i="1"/>
  <c r="C46" i="1"/>
  <c r="B46" i="1"/>
  <c r="A46" i="1"/>
  <c r="AQ45" i="1"/>
  <c r="AD45" i="1"/>
  <c r="AC45" i="1"/>
  <c r="AB45" i="1"/>
  <c r="AA45" i="1"/>
  <c r="U45" i="1"/>
  <c r="S45" i="1"/>
  <c r="N45" i="1"/>
  <c r="J45" i="1"/>
  <c r="I45" i="1"/>
  <c r="H45" i="1"/>
  <c r="G45" i="1"/>
  <c r="E45" i="1"/>
  <c r="C45" i="1"/>
  <c r="B45" i="1"/>
  <c r="A45" i="1"/>
  <c r="AQ43" i="1"/>
  <c r="AB43" i="1"/>
  <c r="AA43" i="1"/>
  <c r="N43" i="1"/>
  <c r="J43" i="1"/>
  <c r="I43" i="1"/>
  <c r="H43" i="1"/>
  <c r="G43" i="1"/>
  <c r="E43" i="1"/>
  <c r="B43" i="1"/>
  <c r="A43" i="1"/>
  <c r="AQ42" i="1"/>
  <c r="AD42" i="1"/>
  <c r="AC42" i="1"/>
  <c r="AB42" i="1"/>
  <c r="AA42" i="1"/>
  <c r="X42" i="1"/>
  <c r="V42" i="1"/>
  <c r="U42" i="1"/>
  <c r="T42" i="1"/>
  <c r="S42" i="1"/>
  <c r="N42" i="1"/>
  <c r="M42" i="1"/>
  <c r="J42" i="1"/>
  <c r="I42" i="1"/>
  <c r="H42" i="1"/>
  <c r="G42" i="1"/>
  <c r="F42" i="1"/>
  <c r="E42" i="1"/>
  <c r="D42" i="1"/>
  <c r="C42" i="1"/>
  <c r="B42" i="1"/>
  <c r="A42" i="1"/>
  <c r="AB40" i="1"/>
  <c r="AA40" i="1"/>
  <c r="N40" i="1"/>
  <c r="I40" i="1"/>
  <c r="H40" i="1"/>
  <c r="G40" i="1"/>
  <c r="B40" i="1"/>
  <c r="A40" i="1"/>
  <c r="AQ39" i="1"/>
  <c r="AD39" i="1"/>
  <c r="AC39" i="1"/>
  <c r="AB39" i="1"/>
  <c r="AA39" i="1"/>
  <c r="X39" i="1"/>
  <c r="V39" i="1"/>
  <c r="U39" i="1"/>
  <c r="T39" i="1"/>
  <c r="S39" i="1"/>
  <c r="N39" i="1"/>
  <c r="M39" i="1"/>
  <c r="J39" i="1"/>
  <c r="I39" i="1"/>
  <c r="H39" i="1"/>
  <c r="G39" i="1"/>
  <c r="F39" i="1"/>
  <c r="E39" i="1"/>
  <c r="D39" i="1"/>
  <c r="C39" i="1"/>
  <c r="B39" i="1"/>
  <c r="A39" i="1"/>
  <c r="AQ38" i="1"/>
  <c r="AB38" i="1"/>
  <c r="AA38" i="1"/>
  <c r="U38" i="1"/>
  <c r="S38" i="1"/>
  <c r="N38" i="1"/>
  <c r="J38" i="1"/>
  <c r="I38" i="1"/>
  <c r="H38" i="1"/>
  <c r="G38" i="1"/>
  <c r="F38" i="1"/>
  <c r="B38" i="1"/>
  <c r="A38" i="1"/>
  <c r="AD37" i="1"/>
  <c r="AC37" i="1"/>
  <c r="AB37" i="1"/>
  <c r="AA37" i="1"/>
  <c r="N37" i="1"/>
  <c r="J37" i="1"/>
  <c r="I37" i="1"/>
  <c r="H37" i="1"/>
  <c r="G37" i="1"/>
  <c r="F37" i="1"/>
  <c r="C37" i="1"/>
  <c r="B37" i="1"/>
  <c r="A37" i="1"/>
  <c r="AQ36" i="1"/>
  <c r="AD36" i="1"/>
  <c r="AC36" i="1"/>
  <c r="AB36" i="1"/>
  <c r="AA36" i="1"/>
  <c r="N36" i="1"/>
  <c r="J36" i="1"/>
  <c r="I36" i="1"/>
  <c r="H36" i="1"/>
  <c r="G36" i="1"/>
  <c r="F36" i="1"/>
  <c r="E36" i="1"/>
  <c r="C36" i="1"/>
  <c r="B36" i="1"/>
  <c r="A36" i="1"/>
  <c r="AD35" i="1"/>
  <c r="AC35" i="1"/>
  <c r="AB35" i="1"/>
  <c r="AA35" i="1"/>
  <c r="N35" i="1"/>
  <c r="J35" i="1"/>
  <c r="I35" i="1"/>
  <c r="H35" i="1"/>
  <c r="G35" i="1"/>
  <c r="E35" i="1"/>
  <c r="C35" i="1"/>
  <c r="B35" i="1"/>
  <c r="A35" i="1"/>
  <c r="AQ34" i="1"/>
  <c r="AD34" i="1"/>
  <c r="AC34" i="1"/>
  <c r="AB34" i="1"/>
  <c r="AA34" i="1"/>
  <c r="U34" i="1"/>
  <c r="S34" i="1"/>
  <c r="N34" i="1"/>
  <c r="J34" i="1"/>
  <c r="I34" i="1"/>
  <c r="H34" i="1"/>
  <c r="G34" i="1"/>
  <c r="F34" i="1"/>
  <c r="E34" i="1"/>
  <c r="C34" i="1"/>
  <c r="B34" i="1"/>
  <c r="A34" i="1"/>
  <c r="AD33" i="1"/>
  <c r="AC33" i="1"/>
  <c r="AB33" i="1"/>
  <c r="AA33" i="1"/>
  <c r="X33" i="1"/>
  <c r="W33" i="1"/>
  <c r="V33" i="1"/>
  <c r="U33" i="1"/>
  <c r="T33" i="1"/>
  <c r="S33" i="1"/>
  <c r="N33" i="1"/>
  <c r="M33" i="1"/>
  <c r="J33" i="1"/>
  <c r="I33" i="1"/>
  <c r="H33" i="1"/>
  <c r="G33" i="1"/>
  <c r="F33" i="1"/>
  <c r="E33" i="1"/>
  <c r="D33" i="1"/>
  <c r="C33" i="1"/>
  <c r="B33" i="1"/>
  <c r="A33" i="1"/>
  <c r="AQ32" i="1"/>
  <c r="AB32" i="1"/>
  <c r="AA32" i="1"/>
  <c r="N32" i="1"/>
  <c r="J32" i="1"/>
  <c r="I32" i="1"/>
  <c r="H32" i="1"/>
  <c r="G32" i="1"/>
  <c r="F32" i="1"/>
  <c r="E32" i="1"/>
  <c r="B32" i="1"/>
  <c r="A32" i="1"/>
  <c r="AQ31" i="1"/>
  <c r="AD31" i="1"/>
  <c r="AC31" i="1"/>
  <c r="AB31" i="1"/>
  <c r="AA31" i="1"/>
  <c r="X31" i="1"/>
  <c r="V31" i="1"/>
  <c r="U31" i="1"/>
  <c r="T31" i="1"/>
  <c r="S31" i="1"/>
  <c r="N31" i="1"/>
  <c r="M31" i="1"/>
  <c r="J31" i="1"/>
  <c r="I31" i="1"/>
  <c r="H31" i="1"/>
  <c r="G31" i="1"/>
  <c r="E31" i="1"/>
  <c r="D31" i="1"/>
  <c r="C31" i="1"/>
  <c r="B31" i="1"/>
  <c r="A31" i="1"/>
  <c r="AQ28" i="1"/>
  <c r="AD28" i="1"/>
  <c r="AC28" i="1"/>
  <c r="AB28" i="1"/>
  <c r="N28" i="1"/>
  <c r="J28" i="1"/>
  <c r="I28" i="1"/>
  <c r="H28" i="1"/>
  <c r="F28" i="1"/>
  <c r="C28" i="1"/>
  <c r="B28" i="1"/>
  <c r="A28" i="1"/>
  <c r="AQ27" i="1"/>
  <c r="AD27" i="1"/>
  <c r="AC27" i="1"/>
  <c r="AB27" i="1"/>
  <c r="AA27" i="1"/>
  <c r="U27" i="1"/>
  <c r="S27" i="1"/>
  <c r="N27" i="1"/>
  <c r="J27" i="1"/>
  <c r="I27" i="1"/>
  <c r="H27" i="1"/>
  <c r="G27" i="1"/>
  <c r="E27" i="1"/>
  <c r="C27" i="1"/>
  <c r="B27" i="1"/>
  <c r="A27" i="1"/>
  <c r="AQ26" i="1"/>
  <c r="AD26" i="1"/>
  <c r="AC26" i="1"/>
  <c r="AB26" i="1"/>
  <c r="AA26" i="1"/>
  <c r="N26" i="1"/>
  <c r="J26" i="1"/>
  <c r="I26" i="1"/>
  <c r="H26" i="1"/>
  <c r="G26" i="1"/>
  <c r="F26" i="1"/>
  <c r="C26" i="1"/>
  <c r="B26" i="1"/>
  <c r="A26" i="1"/>
  <c r="AQ25" i="1"/>
  <c r="AD25" i="1"/>
  <c r="AC25" i="1"/>
  <c r="AB25" i="1"/>
  <c r="AA25" i="1"/>
  <c r="U25" i="1"/>
  <c r="S25" i="1"/>
  <c r="N25" i="1"/>
  <c r="J25" i="1"/>
  <c r="I25" i="1"/>
  <c r="H25" i="1"/>
  <c r="G25" i="1"/>
  <c r="F25" i="1"/>
  <c r="E25" i="1"/>
  <c r="C25" i="1"/>
  <c r="B25" i="1"/>
  <c r="A25" i="1"/>
  <c r="AQ24" i="1"/>
  <c r="AD24" i="1"/>
  <c r="AC24" i="1"/>
  <c r="AB24" i="1"/>
  <c r="AA24" i="1"/>
  <c r="Y24" i="1"/>
  <c r="X24" i="1"/>
  <c r="V24" i="1"/>
  <c r="U24" i="1"/>
  <c r="T24" i="1"/>
  <c r="S24" i="1"/>
  <c r="N24" i="1"/>
  <c r="M24" i="1"/>
  <c r="L24" i="1"/>
  <c r="J24" i="1"/>
  <c r="I24" i="1"/>
  <c r="H24" i="1"/>
  <c r="G24" i="1"/>
  <c r="F24" i="1"/>
  <c r="E24" i="1"/>
  <c r="D24" i="1"/>
  <c r="C24" i="1"/>
  <c r="B24" i="1"/>
  <c r="A24" i="1"/>
  <c r="AQ23" i="1"/>
  <c r="AD23" i="1"/>
  <c r="AC23" i="1"/>
  <c r="AB23" i="1"/>
  <c r="AA23" i="1"/>
  <c r="X23" i="1"/>
  <c r="V23" i="1"/>
  <c r="U23" i="1"/>
  <c r="T23" i="1"/>
  <c r="S23" i="1"/>
  <c r="N23" i="1"/>
  <c r="M23" i="1"/>
  <c r="L23" i="1"/>
  <c r="J23" i="1"/>
  <c r="I23" i="1"/>
  <c r="H23" i="1"/>
  <c r="G23" i="1"/>
  <c r="F23" i="1"/>
  <c r="E23" i="1"/>
  <c r="D23" i="1"/>
  <c r="C23" i="1"/>
  <c r="B23" i="1"/>
  <c r="A23" i="1"/>
  <c r="AQ21" i="1"/>
  <c r="AB21" i="1"/>
  <c r="AA21" i="1"/>
  <c r="N21" i="1"/>
  <c r="J21" i="1"/>
  <c r="I21" i="1"/>
  <c r="H21" i="1"/>
  <c r="G21" i="1"/>
  <c r="E21" i="1"/>
  <c r="B21" i="1"/>
  <c r="A21" i="1"/>
  <c r="AQ20" i="1"/>
  <c r="AD20" i="1"/>
  <c r="AC20" i="1"/>
  <c r="AB20" i="1"/>
  <c r="AA20" i="1"/>
  <c r="U20" i="1"/>
  <c r="S20" i="1"/>
  <c r="N20" i="1"/>
  <c r="J20" i="1"/>
  <c r="I20" i="1"/>
  <c r="H20" i="1"/>
  <c r="G20" i="1"/>
  <c r="E20" i="1"/>
  <c r="C20" i="1"/>
  <c r="B20" i="1"/>
  <c r="A20" i="1"/>
  <c r="AQ19" i="1"/>
  <c r="AD19" i="1"/>
  <c r="AC19" i="1"/>
  <c r="AB19" i="1"/>
  <c r="AA19" i="1"/>
  <c r="X19" i="1"/>
  <c r="W19" i="1"/>
  <c r="V19" i="1"/>
  <c r="U19" i="1"/>
  <c r="T19" i="1"/>
  <c r="S19" i="1"/>
  <c r="N19" i="1"/>
  <c r="M19" i="1"/>
  <c r="J19" i="1"/>
  <c r="I19" i="1"/>
  <c r="H19" i="1"/>
  <c r="G19" i="1"/>
  <c r="F19" i="1"/>
  <c r="E19" i="1"/>
  <c r="D19" i="1"/>
  <c r="C19" i="1"/>
  <c r="B19" i="1"/>
  <c r="A19" i="1"/>
  <c r="AQ17" i="1"/>
  <c r="AD17" i="1"/>
  <c r="AC17" i="1"/>
  <c r="AB17" i="1"/>
  <c r="AA17" i="1"/>
  <c r="N17" i="1"/>
  <c r="J17" i="1"/>
  <c r="I17" i="1"/>
  <c r="H17" i="1"/>
  <c r="G17" i="1"/>
  <c r="F17" i="1"/>
  <c r="C17" i="1"/>
  <c r="B17" i="1"/>
  <c r="A17" i="1"/>
  <c r="AQ16" i="1"/>
  <c r="AD16" i="1"/>
  <c r="AC16" i="1"/>
  <c r="AB16" i="1"/>
  <c r="AA16" i="1"/>
  <c r="N16" i="1"/>
  <c r="J16" i="1"/>
  <c r="I16" i="1"/>
  <c r="H16" i="1"/>
  <c r="G16" i="1"/>
  <c r="E16" i="1"/>
  <c r="C16" i="1"/>
  <c r="B16" i="1"/>
  <c r="A16" i="1"/>
  <c r="AQ15" i="1"/>
  <c r="AD15" i="1"/>
  <c r="AC15" i="1"/>
  <c r="AB15" i="1"/>
  <c r="AA15" i="1"/>
  <c r="U15" i="1"/>
  <c r="S15" i="1"/>
  <c r="N15" i="1"/>
  <c r="J15" i="1"/>
  <c r="I15" i="1"/>
  <c r="H15" i="1"/>
  <c r="G15" i="1"/>
  <c r="F15" i="1"/>
  <c r="C15" i="1"/>
  <c r="B15" i="1"/>
  <c r="A15" i="1"/>
  <c r="AQ14" i="1"/>
  <c r="AD14" i="1"/>
  <c r="AC14" i="1"/>
  <c r="AB14" i="1"/>
  <c r="AA14" i="1"/>
  <c r="U14" i="1"/>
  <c r="S14" i="1"/>
  <c r="N14" i="1"/>
  <c r="L14" i="1"/>
  <c r="J14" i="1"/>
  <c r="I14" i="1"/>
  <c r="H14" i="1"/>
  <c r="G14" i="1"/>
  <c r="F14" i="1"/>
  <c r="E14" i="1"/>
  <c r="C14" i="1"/>
  <c r="B14" i="1"/>
  <c r="A14" i="1"/>
  <c r="AQ12" i="1"/>
  <c r="AB12" i="1"/>
  <c r="N12" i="1"/>
  <c r="J12" i="1"/>
  <c r="I12" i="1"/>
  <c r="H12" i="1"/>
  <c r="G12" i="1"/>
  <c r="F12" i="1"/>
  <c r="E12" i="1"/>
  <c r="B12" i="1"/>
  <c r="A12" i="1"/>
  <c r="AQ11" i="1"/>
  <c r="AD11" i="1"/>
  <c r="AC11" i="1"/>
  <c r="AB11" i="1"/>
  <c r="AA11" i="1"/>
  <c r="X11" i="1"/>
  <c r="V11" i="1"/>
  <c r="U11" i="1"/>
  <c r="T11" i="1"/>
  <c r="S11" i="1"/>
  <c r="N11" i="1"/>
  <c r="M11" i="1"/>
  <c r="J11" i="1"/>
  <c r="I11" i="1"/>
  <c r="H11" i="1"/>
  <c r="G11" i="1"/>
  <c r="E11" i="1"/>
  <c r="D11" i="1"/>
  <c r="C11" i="1"/>
  <c r="B11" i="1"/>
  <c r="A11" i="1"/>
  <c r="AQ9" i="1"/>
  <c r="AD9" i="1"/>
  <c r="AC9" i="1"/>
  <c r="AB9" i="1"/>
  <c r="AA9" i="1"/>
  <c r="U9" i="1"/>
  <c r="S9" i="1"/>
  <c r="N9" i="1"/>
  <c r="J9" i="1"/>
  <c r="I9" i="1"/>
  <c r="H9" i="1"/>
  <c r="G9" i="1"/>
  <c r="F9" i="1"/>
  <c r="E9" i="1"/>
  <c r="C9" i="1"/>
  <c r="B9" i="1"/>
  <c r="A9" i="1"/>
  <c r="AQ8" i="1"/>
  <c r="AD8" i="1"/>
  <c r="AC8" i="1"/>
  <c r="AB8" i="1"/>
  <c r="AA8" i="1"/>
  <c r="U8" i="1"/>
  <c r="S8" i="1"/>
  <c r="N8" i="1"/>
  <c r="L8" i="1"/>
  <c r="J8" i="1"/>
  <c r="I8" i="1"/>
  <c r="H8" i="1"/>
  <c r="G8" i="1"/>
  <c r="E8" i="1"/>
  <c r="C8" i="1"/>
  <c r="B8" i="1"/>
  <c r="A8" i="1"/>
  <c r="AQ7" i="1"/>
  <c r="AD7" i="1"/>
  <c r="AC7" i="1"/>
  <c r="AB7" i="1"/>
  <c r="U7" i="1"/>
  <c r="S7" i="1"/>
  <c r="N7" i="1"/>
  <c r="L7" i="1"/>
  <c r="J7" i="1"/>
  <c r="I7" i="1"/>
  <c r="H7" i="1"/>
  <c r="G7" i="1"/>
  <c r="C7" i="1"/>
  <c r="B7" i="1"/>
  <c r="A7" i="1"/>
  <c r="AQ6" i="1"/>
  <c r="AD6" i="1"/>
  <c r="AC6" i="1"/>
  <c r="AB6" i="1"/>
  <c r="AA6" i="1"/>
  <c r="X6" i="1"/>
  <c r="V6" i="1"/>
  <c r="U6" i="1"/>
  <c r="T6" i="1"/>
  <c r="S6" i="1"/>
  <c r="N6" i="1"/>
  <c r="M6" i="1"/>
  <c r="J6" i="1"/>
  <c r="I6" i="1"/>
  <c r="H6" i="1"/>
  <c r="G6" i="1"/>
  <c r="F6" i="1"/>
  <c r="E6" i="1"/>
  <c r="D6" i="1"/>
  <c r="C6" i="1"/>
  <c r="B6" i="1"/>
  <c r="A6" i="1"/>
  <c r="AQ5" i="1"/>
  <c r="AD5" i="1"/>
  <c r="AC5" i="1"/>
  <c r="AB5" i="1"/>
  <c r="AA5" i="1"/>
  <c r="X5" i="1"/>
  <c r="V5" i="1"/>
  <c r="U5" i="1"/>
  <c r="T5" i="1"/>
  <c r="S5" i="1"/>
  <c r="N5" i="1"/>
  <c r="M5" i="1"/>
  <c r="L5" i="1"/>
  <c r="J5" i="1"/>
  <c r="I5" i="1"/>
  <c r="H5" i="1"/>
  <c r="G5" i="1"/>
  <c r="F5" i="1"/>
  <c r="E5" i="1"/>
  <c r="D5" i="1"/>
  <c r="C5" i="1"/>
  <c r="B5" i="1"/>
  <c r="A5" i="1"/>
</calcChain>
</file>

<file path=xl/sharedStrings.xml><?xml version="1.0" encoding="utf-8"?>
<sst xmlns="http://schemas.openxmlformats.org/spreadsheetml/2006/main" count="88" uniqueCount="84">
  <si>
    <t>COD.STABILE</t>
  </si>
  <si>
    <t>COD.MISTO</t>
  </si>
  <si>
    <t>RIPARTIZ.</t>
  </si>
  <si>
    <t>INVENT</t>
  </si>
  <si>
    <t>COMUNE</t>
  </si>
  <si>
    <t>INDIRIZZO</t>
  </si>
  <si>
    <t>CAP</t>
  </si>
  <si>
    <t>DESTINAZ</t>
  </si>
  <si>
    <t>STR_RED</t>
  </si>
  <si>
    <t>TITOLO</t>
  </si>
  <si>
    <t>PERC_POSS</t>
  </si>
  <si>
    <t>DATA_GEST</t>
  </si>
  <si>
    <t>SOTTOCAT</t>
  </si>
  <si>
    <t>TIPO</t>
  </si>
  <si>
    <t>PREC_STAB</t>
  </si>
  <si>
    <t>AL_STAB</t>
  </si>
  <si>
    <t>PREC_SEDE</t>
  </si>
  <si>
    <t>AL_SEDE</t>
  </si>
  <si>
    <t>LOCALIZ</t>
  </si>
  <si>
    <t>ZONA</t>
  </si>
  <si>
    <t>TIPOLOGIA</t>
  </si>
  <si>
    <t>TIPO_RED</t>
  </si>
  <si>
    <t>DATA_CONTR</t>
  </si>
  <si>
    <t>TITOLO_ACQ</t>
  </si>
  <si>
    <t>SERVITU</t>
  </si>
  <si>
    <t>PRINCIPALE</t>
  </si>
  <si>
    <t>DATA_RIL</t>
  </si>
  <si>
    <t>DESCRIZIONE</t>
  </si>
  <si>
    <t>ANNO_COSTR</t>
  </si>
  <si>
    <t>ANNO_RISTR</t>
  </si>
  <si>
    <t>VOLUME_FT</t>
  </si>
  <si>
    <t>VOLUME_ET</t>
  </si>
  <si>
    <t>VOLUME</t>
  </si>
  <si>
    <t>PRE_VOLUME</t>
  </si>
  <si>
    <t>VOL_FISC</t>
  </si>
  <si>
    <t>SUP_FT_ABI</t>
  </si>
  <si>
    <t>SUP_SI_ABI</t>
  </si>
  <si>
    <t>SUP_TOT_FT</t>
  </si>
  <si>
    <t>SUP_INTER</t>
  </si>
  <si>
    <t>LORDO_UFF</t>
  </si>
  <si>
    <t>NETTO_UFF</t>
  </si>
  <si>
    <t>MQ_UFFICI</t>
  </si>
  <si>
    <t>PROV.</t>
  </si>
  <si>
    <t>PIAZZA INSURREZIONE 8</t>
  </si>
  <si>
    <t>AGENZIA COMPLESSA</t>
  </si>
  <si>
    <t>CITTADELLA</t>
  </si>
  <si>
    <t>ESTE</t>
  </si>
  <si>
    <t>CONEGLIANO VENETO</t>
  </si>
  <si>
    <t>MONTEBELLUNA</t>
  </si>
  <si>
    <t>BASSANO DEL GRAPPA</t>
  </si>
  <si>
    <t>LEGNAGO</t>
  </si>
  <si>
    <t>VILLAFRANCA VERONESE</t>
  </si>
  <si>
    <t>VIALE VERDI 64</t>
  </si>
  <si>
    <t>VIA MARCONI 18</t>
  </si>
  <si>
    <t xml:space="preserve">TREVISO </t>
  </si>
  <si>
    <t>VIA ALBONA /VIA CAPODISTRIA</t>
  </si>
  <si>
    <t>TV</t>
  </si>
  <si>
    <t xml:space="preserve">VIA C. BATTISTI 28 </t>
  </si>
  <si>
    <t>VIA BORGO PADOVA 8 p.ni 2° e 3°</t>
  </si>
  <si>
    <t xml:space="preserve">VIA PICCININI 7/9 </t>
  </si>
  <si>
    <t>SESTIERE DORSODURO 3519-3520</t>
  </si>
  <si>
    <t>VENEZIA MESTRE</t>
  </si>
  <si>
    <t>VIA PIETRO MARASCHIN 10</t>
  </si>
  <si>
    <t>VIA MONSIGNOR POZZATO</t>
  </si>
  <si>
    <t>PROVINCIA DI BELLUNO</t>
  </si>
  <si>
    <t xml:space="preserve">PROVINCIA DI PADOVA </t>
  </si>
  <si>
    <t>PROVINCIA DI ROVIGO</t>
  </si>
  <si>
    <t>PROVINCIA DI TREVISO</t>
  </si>
  <si>
    <t>PROVINCIA DI VENEZIA</t>
  </si>
  <si>
    <t>PROVINCIA DI VICENZA</t>
  </si>
  <si>
    <t>PROVINCIA DI VERONA</t>
  </si>
  <si>
    <t xml:space="preserve">VIA GOZZI/GALLERIA TRIESTE </t>
  </si>
  <si>
    <t>VIA DON MINZONI 6</t>
  </si>
  <si>
    <t xml:space="preserve">unità immobiliari uso abitativo (circa 80 appartamenti)/commerciale (circa 12 negozi)  </t>
  </si>
  <si>
    <t>VIA DELLA RIMEMBRANZA 9</t>
  </si>
  <si>
    <t>PUNTO INPS</t>
  </si>
  <si>
    <t>VIA ACHILLE PAPA 26</t>
  </si>
  <si>
    <t>VIA RASA 6</t>
  </si>
  <si>
    <t>VIA BEZZECCA 30</t>
  </si>
  <si>
    <t>ELENCO DEI FABBRICATI: L'elenco potrà subire delle variazioni in aumento o diminuzione</t>
  </si>
  <si>
    <t>VIA TORINO 21</t>
  </si>
  <si>
    <t>PIAZZA MUNICIPIO 14</t>
  </si>
  <si>
    <t>VIALE DELLA VITTORIA 17</t>
  </si>
  <si>
    <t xml:space="preserve"> VIA CAMPOROSOLO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</si>
</sst>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33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left" wrapText="1"/>
    </xf>
    <xf numFmtId="0" fontId="18" fillId="34" borderId="10" xfId="0" applyFont="1" applyFill="1" applyBorder="1" applyAlignment="1">
      <alignment wrapText="1"/>
    </xf>
    <xf numFmtId="14" fontId="18" fillId="34" borderId="10" xfId="0" applyNumberFormat="1" applyFont="1" applyFill="1" applyBorder="1" applyAlignment="1">
      <alignment horizontal="center" wrapText="1"/>
    </xf>
    <xf numFmtId="4" fontId="18" fillId="34" borderId="10" xfId="0" applyNumberFormat="1" applyFont="1" applyFill="1" applyBorder="1" applyAlignment="1">
      <alignment horizontal="right" wrapText="1"/>
    </xf>
    <xf numFmtId="0" fontId="18" fillId="34" borderId="10" xfId="0" applyFont="1" applyFill="1" applyBorder="1" applyAlignment="1">
      <alignment horizontal="right" wrapText="1"/>
    </xf>
    <xf numFmtId="0" fontId="18" fillId="35" borderId="10" xfId="0" applyFont="1" applyFill="1" applyBorder="1" applyAlignment="1">
      <alignment horizontal="left" wrapText="1"/>
    </xf>
    <xf numFmtId="0" fontId="18" fillId="35" borderId="10" xfId="0" applyFont="1" applyFill="1" applyBorder="1" applyAlignment="1">
      <alignment wrapText="1"/>
    </xf>
    <xf numFmtId="14" fontId="18" fillId="35" borderId="10" xfId="0" applyNumberFormat="1" applyFont="1" applyFill="1" applyBorder="1" applyAlignment="1">
      <alignment horizontal="center" wrapText="1"/>
    </xf>
    <xf numFmtId="4" fontId="18" fillId="35" borderId="10" xfId="0" applyNumberFormat="1" applyFont="1" applyFill="1" applyBorder="1" applyAlignment="1">
      <alignment horizontal="right" wrapText="1"/>
    </xf>
    <xf numFmtId="0" fontId="18" fillId="35" borderId="10" xfId="0" applyFont="1" applyFill="1" applyBorder="1" applyAlignment="1">
      <alignment horizontal="right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14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right" wrapText="1"/>
    </xf>
    <xf numFmtId="4" fontId="18" fillId="0" borderId="10" xfId="0" applyNumberFormat="1" applyFont="1" applyFill="1" applyBorder="1" applyAlignment="1">
      <alignment horizontal="right" wrapText="1"/>
    </xf>
    <xf numFmtId="0" fontId="19" fillId="36" borderId="10" xfId="0" applyFont="1" applyFill="1" applyBorder="1" applyAlignment="1">
      <alignment horizontal="left" wrapText="1"/>
    </xf>
    <xf numFmtId="0" fontId="19" fillId="36" borderId="10" xfId="0" applyFont="1" applyFill="1" applyBorder="1" applyAlignment="1">
      <alignment wrapText="1"/>
    </xf>
    <xf numFmtId="14" fontId="19" fillId="36" borderId="10" xfId="0" applyNumberFormat="1" applyFont="1" applyFill="1" applyBorder="1" applyAlignment="1">
      <alignment horizontal="center" wrapText="1"/>
    </xf>
    <xf numFmtId="0" fontId="18" fillId="36" borderId="10" xfId="0" applyFont="1" applyFill="1" applyBorder="1" applyAlignment="1">
      <alignment horizontal="left" wrapText="1"/>
    </xf>
    <xf numFmtId="0" fontId="18" fillId="36" borderId="10" xfId="0" applyFont="1" applyFill="1" applyBorder="1" applyAlignment="1">
      <alignment wrapText="1"/>
    </xf>
    <xf numFmtId="14" fontId="18" fillId="36" borderId="10" xfId="0" applyNumberFormat="1" applyFont="1" applyFill="1" applyBorder="1" applyAlignment="1">
      <alignment horizontal="center" wrapText="1"/>
    </xf>
    <xf numFmtId="0" fontId="18" fillId="36" borderId="10" xfId="0" applyFont="1" applyFill="1" applyBorder="1" applyAlignment="1">
      <alignment horizontal="right" wrapText="1"/>
    </xf>
    <xf numFmtId="0" fontId="16" fillId="0" borderId="0" xfId="0" applyFont="1"/>
    <xf numFmtId="0" fontId="18" fillId="36" borderId="11" xfId="0" applyFont="1" applyFill="1" applyBorder="1" applyAlignment="1">
      <alignment horizontal="center" wrapText="1"/>
    </xf>
    <xf numFmtId="0" fontId="18" fillId="36" borderId="12" xfId="0" applyFont="1" applyFill="1" applyBorder="1" applyAlignment="1">
      <alignment horizontal="center" wrapText="1"/>
    </xf>
    <xf numFmtId="0" fontId="18" fillId="36" borderId="13" xfId="0" applyFont="1" applyFill="1" applyBorder="1" applyAlignment="1">
      <alignment horizont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showGridLines="0" tabSelected="1" zoomScaleNormal="100" workbookViewId="0">
      <selection activeCell="F53" sqref="F53"/>
    </sheetView>
  </sheetViews>
  <sheetFormatPr defaultRowHeight="15" x14ac:dyDescent="0.25"/>
  <cols>
    <col min="1" max="1" width="15.28515625" customWidth="1"/>
    <col min="2" max="2" width="4.5703125" hidden="1" customWidth="1"/>
    <col min="3" max="4" width="17.7109375" hidden="1" customWidth="1"/>
    <col min="5" max="5" width="18" customWidth="1"/>
    <col min="6" max="6" width="17.7109375" customWidth="1"/>
    <col min="7" max="7" width="7.7109375" customWidth="1"/>
    <col min="8" max="8" width="6.42578125" customWidth="1"/>
    <col min="9" max="42" width="17.7109375" hidden="1" customWidth="1"/>
    <col min="43" max="43" width="24.42578125" customWidth="1"/>
  </cols>
  <sheetData>
    <row r="1" spans="1:43" x14ac:dyDescent="0.25">
      <c r="A1" s="24" t="s">
        <v>79</v>
      </c>
    </row>
    <row r="3" spans="1:43" ht="43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42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1" t="s">
        <v>35</v>
      </c>
      <c r="AK3" s="1" t="s">
        <v>36</v>
      </c>
      <c r="AL3" s="1" t="s">
        <v>37</v>
      </c>
      <c r="AM3" s="1" t="s">
        <v>38</v>
      </c>
      <c r="AN3" s="1" t="s">
        <v>39</v>
      </c>
      <c r="AO3" s="1" t="s">
        <v>40</v>
      </c>
      <c r="AP3" s="1" t="s">
        <v>41</v>
      </c>
      <c r="AQ3" s="1" t="s">
        <v>7</v>
      </c>
    </row>
    <row r="4" spans="1:43" ht="22.5" customHeight="1" x14ac:dyDescent="0.25">
      <c r="A4" s="25" t="s">
        <v>64</v>
      </c>
      <c r="B4" s="26"/>
      <c r="C4" s="26"/>
      <c r="D4" s="26"/>
      <c r="E4" s="27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</row>
    <row r="5" spans="1:43" ht="27.6" customHeight="1" x14ac:dyDescent="0.25">
      <c r="A5" s="2" t="str">
        <f>UPPER("06BL00")</f>
        <v>06BL00</v>
      </c>
      <c r="B5" s="2" t="str">
        <f>UPPER("06")</f>
        <v>06</v>
      </c>
      <c r="C5" s="2" t="str">
        <f>UPPER("0000 ")</f>
        <v xml:space="preserve">0000 </v>
      </c>
      <c r="D5" s="2" t="str">
        <f>UPPER("03/09")</f>
        <v>03/09</v>
      </c>
      <c r="E5" s="2" t="str">
        <f>UPPER("BELLUNO ")</f>
        <v xml:space="preserve">BELLUNO </v>
      </c>
      <c r="F5" s="2" t="str">
        <f>UPPER("VIALE FANTUZZI 24/A")</f>
        <v>VIALE FANTUZZI 24/A</v>
      </c>
      <c r="G5" s="2" t="str">
        <f t="shared" ref="G5:G6" si="0">UPPER("32100")</f>
        <v>32100</v>
      </c>
      <c r="H5" s="2" t="str">
        <f t="shared" ref="H5:H9" si="1">UPPER("BL")</f>
        <v>BL</v>
      </c>
      <c r="I5" s="2" t="str">
        <f t="shared" ref="I5:I9" si="2">UPPER("S")</f>
        <v>S</v>
      </c>
      <c r="J5" s="2" t="str">
        <f>UPPER("P")</f>
        <v>P</v>
      </c>
      <c r="K5" s="3"/>
      <c r="L5" s="4">
        <f>DATE(1956,12,31)</f>
        <v>20820</v>
      </c>
      <c r="M5" s="2" t="str">
        <f>UPPER("1")</f>
        <v>1</v>
      </c>
      <c r="N5" s="2" t="str">
        <f>UPPER("CI")</f>
        <v>CI</v>
      </c>
      <c r="O5" s="3"/>
      <c r="P5" s="3"/>
      <c r="Q5" s="3"/>
      <c r="R5" s="3"/>
      <c r="S5" s="2" t="str">
        <f>UPPER("S")</f>
        <v>S</v>
      </c>
      <c r="T5" s="2" t="str">
        <f>UPPER("C")</f>
        <v>C</v>
      </c>
      <c r="U5" s="2" t="str">
        <f>UPPER("S")</f>
        <v>S</v>
      </c>
      <c r="V5" s="2" t="str">
        <f>UPPER("F")</f>
        <v>F</v>
      </c>
      <c r="W5" s="3"/>
      <c r="X5" s="2" t="str">
        <f>UPPER("FABBR. COSTRUITO DALL`ISTITUTO.CONTRATTO PER L`ACQUISTO DELL`AREA STIPULATO DALLA DIR.GENERALE ")</f>
        <v xml:space="preserve">FABBR. COSTRUITO DALL`ISTITUTO.CONTRATTO PER L`ACQUISTO DELL`AREA STIPULATO DALLA DIR.GENERALE </v>
      </c>
      <c r="Y5" s="3"/>
      <c r="Z5" s="3"/>
      <c r="AA5" s="4">
        <f>DATE(1995,11,11)</f>
        <v>35014</v>
      </c>
      <c r="AB5" s="2" t="str">
        <f>UPPER("BELLUNO - BL - VIALE FANTUZZI 24/A")</f>
        <v>BELLUNO - BL - VIALE FANTUZZI 24/A</v>
      </c>
      <c r="AC5" s="2" t="str">
        <f>UPPER("1956")</f>
        <v>1956</v>
      </c>
      <c r="AD5" s="2" t="str">
        <f>UPPER("1984")</f>
        <v>1984</v>
      </c>
      <c r="AE5" s="5">
        <v>9054</v>
      </c>
      <c r="AF5" s="6">
        <v>815</v>
      </c>
      <c r="AG5" s="5">
        <v>9869</v>
      </c>
      <c r="AH5" s="3"/>
      <c r="AI5" s="5">
        <v>9054</v>
      </c>
      <c r="AJ5" s="5">
        <v>2170</v>
      </c>
      <c r="AK5" s="6">
        <v>424</v>
      </c>
      <c r="AL5" s="5">
        <v>2330</v>
      </c>
      <c r="AM5" s="6">
        <v>466</v>
      </c>
      <c r="AN5" s="5">
        <v>2790</v>
      </c>
      <c r="AO5" s="5">
        <v>2316</v>
      </c>
      <c r="AP5" s="5">
        <v>1574</v>
      </c>
      <c r="AQ5" s="2" t="str">
        <f>UPPER("Direzione Provinciale")</f>
        <v>DIREZIONE PROVINCIALE</v>
      </c>
    </row>
    <row r="6" spans="1:43" ht="33.75" customHeight="1" x14ac:dyDescent="0.25">
      <c r="A6" s="2" t="str">
        <f>UPPER("06BL09")</f>
        <v>06BL09</v>
      </c>
      <c r="B6" s="2" t="str">
        <f t="shared" ref="B6:B9" si="3">UPPER("06")</f>
        <v>06</v>
      </c>
      <c r="C6" s="2" t="str">
        <f t="shared" ref="C6:C9" si="4">UPPER("0000 ")</f>
        <v xml:space="preserve">0000 </v>
      </c>
      <c r="D6" s="2" t="str">
        <f>UPPER("04/13")</f>
        <v>04/13</v>
      </c>
      <c r="E6" s="2" t="str">
        <f>UPPER("BELLUNO ")</f>
        <v xml:space="preserve">BELLUNO </v>
      </c>
      <c r="F6" s="2" t="str">
        <f>UPPER("VIA DIZIANI 3/A")</f>
        <v>VIA DIZIANI 3/A</v>
      </c>
      <c r="G6" s="2" t="str">
        <f t="shared" si="0"/>
        <v>32100</v>
      </c>
      <c r="H6" s="2" t="str">
        <f t="shared" si="1"/>
        <v>BL</v>
      </c>
      <c r="I6" s="2" t="str">
        <f t="shared" si="2"/>
        <v>S</v>
      </c>
      <c r="J6" s="2" t="str">
        <f>UPPER("P")</f>
        <v>P</v>
      </c>
      <c r="K6" s="3"/>
      <c r="L6" s="3"/>
      <c r="M6" s="2" t="str">
        <f>UPPER("1")</f>
        <v>1</v>
      </c>
      <c r="N6" s="2" t="str">
        <f>UPPER("CI")</f>
        <v>CI</v>
      </c>
      <c r="O6" s="3"/>
      <c r="P6" s="3"/>
      <c r="Q6" s="3"/>
      <c r="R6" s="3"/>
      <c r="S6" s="2" t="str">
        <f>UPPER("S")</f>
        <v>S</v>
      </c>
      <c r="T6" s="2" t="str">
        <f>UPPER("C")</f>
        <v>C</v>
      </c>
      <c r="U6" s="2" t="str">
        <f>UPPER("S")</f>
        <v>S</v>
      </c>
      <c r="V6" s="2" t="str">
        <f>UPPER("F")</f>
        <v>F</v>
      </c>
      <c r="W6" s="3"/>
      <c r="X6" s="2" t="str">
        <f>UPPER("FABBR. COSTRUITO DALL`ISTITUTO. CONTR. DI COMPR. PER L`ACQUISTO DELL`AREA STIP. DALLA DIR. GENERALE ")</f>
        <v xml:space="preserve">FABBR. COSTRUITO DALL`ISTITUTO. CONTR. DI COMPR. PER L`ACQUISTO DELL`AREA STIP. DALLA DIR. GENERALE </v>
      </c>
      <c r="Y6" s="3"/>
      <c r="Z6" s="3"/>
      <c r="AA6" s="4">
        <f>DATE(2001,1,9)</f>
        <v>36900</v>
      </c>
      <c r="AB6" s="2" t="str">
        <f>UPPER("BELLUNO - BL - VIA DIZIANI 3/A")</f>
        <v>BELLUNO - BL - VIA DIZIANI 3/A</v>
      </c>
      <c r="AC6" s="2" t="str">
        <f>UPPER("1956")</f>
        <v>1956</v>
      </c>
      <c r="AD6" s="2" t="str">
        <f>UPPER("1991")</f>
        <v>1991</v>
      </c>
      <c r="AE6" s="5">
        <v>5485</v>
      </c>
      <c r="AF6" s="6">
        <v>791</v>
      </c>
      <c r="AG6" s="5">
        <v>6276</v>
      </c>
      <c r="AH6" s="3"/>
      <c r="AI6" s="5">
        <v>5485</v>
      </c>
      <c r="AJ6" s="5">
        <v>1602</v>
      </c>
      <c r="AK6" s="6">
        <v>300</v>
      </c>
      <c r="AL6" s="5">
        <v>1577</v>
      </c>
      <c r="AM6" s="6">
        <v>368</v>
      </c>
      <c r="AN6" s="5">
        <v>1900</v>
      </c>
      <c r="AO6" s="5">
        <v>1650</v>
      </c>
      <c r="AP6" s="5">
        <v>1463</v>
      </c>
      <c r="AQ6" s="2" t="str">
        <f>UPPER("Direzione Provinciale")</f>
        <v>DIREZIONE PROVINCIALE</v>
      </c>
    </row>
    <row r="7" spans="1:43" ht="33" x14ac:dyDescent="0.25">
      <c r="A7" s="7" t="str">
        <f>UPPER("06BL61")</f>
        <v>06BL61</v>
      </c>
      <c r="B7" s="7" t="str">
        <f t="shared" si="3"/>
        <v>06</v>
      </c>
      <c r="C7" s="7" t="str">
        <f t="shared" si="4"/>
        <v xml:space="preserve">0000 </v>
      </c>
      <c r="D7" s="8"/>
      <c r="E7" s="7" t="str">
        <f>UPPER("AGORDO  ")</f>
        <v xml:space="preserve">AGORDO  </v>
      </c>
      <c r="F7" s="7" t="s">
        <v>57</v>
      </c>
      <c r="G7" s="7" t="str">
        <f>UPPER("32021")</f>
        <v>32021</v>
      </c>
      <c r="H7" s="7" t="str">
        <f t="shared" si="1"/>
        <v>BL</v>
      </c>
      <c r="I7" s="7" t="str">
        <f t="shared" si="2"/>
        <v>S</v>
      </c>
      <c r="J7" s="7" t="str">
        <f>UPPER("A")</f>
        <v>A</v>
      </c>
      <c r="K7" s="8"/>
      <c r="L7" s="9">
        <f>DATE(1993,7,15)</f>
        <v>34165</v>
      </c>
      <c r="M7" s="8"/>
      <c r="N7" s="7" t="str">
        <f t="shared" ref="N7:N13" si="5">UPPER("FU")</f>
        <v>FU</v>
      </c>
      <c r="O7" s="8"/>
      <c r="P7" s="8"/>
      <c r="Q7" s="8"/>
      <c r="R7" s="8"/>
      <c r="S7" s="7" t="str">
        <f>UPPER("S")</f>
        <v>S</v>
      </c>
      <c r="T7" s="8"/>
      <c r="U7" s="7" t="str">
        <f>UPPER("S")</f>
        <v>S</v>
      </c>
      <c r="V7" s="8"/>
      <c r="W7" s="8"/>
      <c r="X7" s="8"/>
      <c r="Y7" s="8"/>
      <c r="Z7" s="8"/>
      <c r="AA7" s="8"/>
      <c r="AB7" s="7" t="str">
        <f>UPPER("AGORDO 2 - BL - VIA C. BATTISTI 28")</f>
        <v>AGORDO 2 - BL - VIA C. BATTISTI 28</v>
      </c>
      <c r="AC7" s="7" t="str">
        <f>UPPER("1972")</f>
        <v>1972</v>
      </c>
      <c r="AD7" s="7" t="str">
        <f>UPPER("1993")</f>
        <v>1993</v>
      </c>
      <c r="AE7" s="8"/>
      <c r="AF7" s="8"/>
      <c r="AG7" s="10">
        <v>1043</v>
      </c>
      <c r="AH7" s="8"/>
      <c r="AI7" s="8"/>
      <c r="AJ7" s="8"/>
      <c r="AK7" s="8"/>
      <c r="AL7" s="8"/>
      <c r="AM7" s="8"/>
      <c r="AN7" s="11">
        <v>316</v>
      </c>
      <c r="AO7" s="11">
        <v>282</v>
      </c>
      <c r="AP7" s="11">
        <v>202</v>
      </c>
      <c r="AQ7" s="7" t="str">
        <f>UPPER("Agenzia ")</f>
        <v xml:space="preserve">AGENZIA </v>
      </c>
    </row>
    <row r="8" spans="1:43" ht="39" customHeight="1" x14ac:dyDescent="0.25">
      <c r="A8" s="12" t="str">
        <f>UPPER("06BL62")</f>
        <v>06BL62</v>
      </c>
      <c r="B8" s="12" t="str">
        <f t="shared" si="3"/>
        <v>06</v>
      </c>
      <c r="C8" s="12" t="str">
        <f t="shared" si="4"/>
        <v xml:space="preserve">0000 </v>
      </c>
      <c r="D8" s="13"/>
      <c r="E8" s="12" t="str">
        <f>UPPER("PIEVE DI CADORE ")</f>
        <v xml:space="preserve">PIEVE DI CADORE </v>
      </c>
      <c r="F8" s="12" t="s">
        <v>81</v>
      </c>
      <c r="G8" s="12" t="str">
        <f>UPPER("32040")</f>
        <v>32040</v>
      </c>
      <c r="H8" s="12" t="str">
        <f t="shared" si="1"/>
        <v>BL</v>
      </c>
      <c r="I8" s="12" t="str">
        <f t="shared" si="2"/>
        <v>S</v>
      </c>
      <c r="J8" s="12" t="str">
        <f>UPPER("A")</f>
        <v>A</v>
      </c>
      <c r="K8" s="13"/>
      <c r="L8" s="14">
        <f>DATE(1994,5,1)</f>
        <v>34455</v>
      </c>
      <c r="M8" s="13"/>
      <c r="N8" s="12" t="str">
        <f t="shared" si="5"/>
        <v>FU</v>
      </c>
      <c r="O8" s="13"/>
      <c r="P8" s="13"/>
      <c r="Q8" s="13"/>
      <c r="R8" s="13"/>
      <c r="S8" s="12" t="str">
        <f>UPPER("S")</f>
        <v>S</v>
      </c>
      <c r="T8" s="13"/>
      <c r="U8" s="12" t="str">
        <f>UPPER("S")</f>
        <v>S</v>
      </c>
      <c r="V8" s="13"/>
      <c r="W8" s="13"/>
      <c r="X8" s="13"/>
      <c r="Y8" s="13"/>
      <c r="Z8" s="13"/>
      <c r="AA8" s="14">
        <f>DATE(2007,11,26)</f>
        <v>39412</v>
      </c>
      <c r="AB8" s="12" t="str">
        <f>UPPER("PIEVE DI CADORE - BL - PIAZZA VENEZIA 11 TAI")</f>
        <v>PIEVE DI CADORE - BL - PIAZZA VENEZIA 11 TAI</v>
      </c>
      <c r="AC8" s="12" t="str">
        <f>UPPER("1980")</f>
        <v>1980</v>
      </c>
      <c r="AD8" s="12" t="str">
        <f>UPPER("1993")</f>
        <v>1993</v>
      </c>
      <c r="AE8" s="13"/>
      <c r="AF8" s="13"/>
      <c r="AG8" s="16">
        <v>1474</v>
      </c>
      <c r="AH8" s="13"/>
      <c r="AI8" s="13"/>
      <c r="AJ8" s="13"/>
      <c r="AK8" s="13"/>
      <c r="AL8" s="13"/>
      <c r="AM8" s="13"/>
      <c r="AN8" s="15">
        <v>524</v>
      </c>
      <c r="AO8" s="15">
        <v>467</v>
      </c>
      <c r="AP8" s="15">
        <v>445</v>
      </c>
      <c r="AQ8" s="12" t="str">
        <f>UPPER("Agenzia ")</f>
        <v xml:space="preserve">AGENZIA </v>
      </c>
    </row>
    <row r="9" spans="1:43" ht="22.5" x14ac:dyDescent="0.25">
      <c r="A9" s="12" t="str">
        <f>UPPER("06BL63")</f>
        <v>06BL63</v>
      </c>
      <c r="B9" s="12" t="str">
        <f t="shared" si="3"/>
        <v>06</v>
      </c>
      <c r="C9" s="12" t="str">
        <f t="shared" si="4"/>
        <v xml:space="preserve">0000 </v>
      </c>
      <c r="D9" s="13"/>
      <c r="E9" s="12" t="str">
        <f>UPPER("FELTRE ")</f>
        <v xml:space="preserve">FELTRE </v>
      </c>
      <c r="F9" s="12" t="str">
        <f>UPPER("VIA BOVIO 32")</f>
        <v>VIA BOVIO 32</v>
      </c>
      <c r="G9" s="12" t="str">
        <f>UPPER("32032")</f>
        <v>32032</v>
      </c>
      <c r="H9" s="12" t="str">
        <f t="shared" si="1"/>
        <v>BL</v>
      </c>
      <c r="I9" s="12" t="str">
        <f t="shared" si="2"/>
        <v>S</v>
      </c>
      <c r="J9" s="12" t="str">
        <f>UPPER("A")</f>
        <v>A</v>
      </c>
      <c r="K9" s="13"/>
      <c r="L9" s="13"/>
      <c r="M9" s="13"/>
      <c r="N9" s="12" t="str">
        <f t="shared" si="5"/>
        <v>FU</v>
      </c>
      <c r="O9" s="13"/>
      <c r="P9" s="13"/>
      <c r="Q9" s="13"/>
      <c r="R9" s="13"/>
      <c r="S9" s="12" t="str">
        <f>UPPER("S")</f>
        <v>S</v>
      </c>
      <c r="T9" s="13"/>
      <c r="U9" s="12" t="str">
        <f>UPPER("S")</f>
        <v>S</v>
      </c>
      <c r="V9" s="13"/>
      <c r="W9" s="13"/>
      <c r="X9" s="13"/>
      <c r="Y9" s="13"/>
      <c r="Z9" s="13"/>
      <c r="AA9" s="14">
        <f>DATE(2007,11,26)</f>
        <v>39412</v>
      </c>
      <c r="AB9" s="12" t="str">
        <f>UPPER("FELTRE - BL - VIA BOVIO 32")</f>
        <v>FELTRE - BL - VIA BOVIO 32</v>
      </c>
      <c r="AC9" s="12" t="str">
        <f>UPPER(" 0")</f>
        <v xml:space="preserve"> 0</v>
      </c>
      <c r="AD9" s="12" t="str">
        <f>UPPER(" 0")</f>
        <v xml:space="preserve"> 0</v>
      </c>
      <c r="AE9" s="13"/>
      <c r="AF9" s="13"/>
      <c r="AG9" s="15">
        <v>0</v>
      </c>
      <c r="AH9" s="13"/>
      <c r="AI9" s="13"/>
      <c r="AJ9" s="13"/>
      <c r="AK9" s="13"/>
      <c r="AL9" s="13"/>
      <c r="AM9" s="13"/>
      <c r="AN9" s="15">
        <v>527</v>
      </c>
      <c r="AO9" s="15">
        <v>442</v>
      </c>
      <c r="AP9" s="15">
        <v>363</v>
      </c>
      <c r="AQ9" s="12" t="str">
        <f>UPPER("Agenzia ")</f>
        <v xml:space="preserve">AGENZIA </v>
      </c>
    </row>
    <row r="10" spans="1:43" x14ac:dyDescent="0.25">
      <c r="A10" s="25" t="s">
        <v>65</v>
      </c>
      <c r="B10" s="26"/>
      <c r="C10" s="26"/>
      <c r="D10" s="26"/>
      <c r="E10" s="27"/>
      <c r="F10" s="20"/>
      <c r="G10" s="20"/>
      <c r="H10" s="20"/>
      <c r="I10" s="20"/>
      <c r="J10" s="20"/>
      <c r="K10" s="21"/>
      <c r="L10" s="21"/>
      <c r="M10" s="21"/>
      <c r="N10" s="20"/>
      <c r="O10" s="21"/>
      <c r="P10" s="21"/>
      <c r="Q10" s="21"/>
      <c r="R10" s="21"/>
      <c r="S10" s="20"/>
      <c r="T10" s="21"/>
      <c r="U10" s="20"/>
      <c r="V10" s="21"/>
      <c r="W10" s="21"/>
      <c r="X10" s="21"/>
      <c r="Y10" s="21"/>
      <c r="Z10" s="21"/>
      <c r="AA10" s="22"/>
      <c r="AB10" s="20"/>
      <c r="AC10" s="20"/>
      <c r="AD10" s="20"/>
      <c r="AE10" s="21"/>
      <c r="AF10" s="21"/>
      <c r="AG10" s="23"/>
      <c r="AH10" s="21"/>
      <c r="AI10" s="21"/>
      <c r="AJ10" s="21"/>
      <c r="AK10" s="21"/>
      <c r="AL10" s="21"/>
      <c r="AM10" s="21"/>
      <c r="AN10" s="23"/>
      <c r="AO10" s="23"/>
      <c r="AP10" s="23"/>
      <c r="AQ10" s="20"/>
    </row>
    <row r="11" spans="1:43" ht="36" customHeight="1" x14ac:dyDescent="0.25">
      <c r="A11" s="2" t="str">
        <f>UPPER("06PD00")</f>
        <v>06PD00</v>
      </c>
      <c r="B11" s="2" t="str">
        <f>UPPER("06")</f>
        <v>06</v>
      </c>
      <c r="C11" s="2" t="str">
        <f>UPPER("0000 ")</f>
        <v xml:space="preserve">0000 </v>
      </c>
      <c r="D11" s="2" t="str">
        <f>UPPER("05/17")</f>
        <v>05/17</v>
      </c>
      <c r="E11" s="2" t="str">
        <f t="shared" ref="E11:E13" si="6">UPPER("PADOVA ")</f>
        <v xml:space="preserve">PADOVA </v>
      </c>
      <c r="F11" s="2" t="s">
        <v>43</v>
      </c>
      <c r="G11" s="2" t="str">
        <f>UPPER("35139")</f>
        <v>35139</v>
      </c>
      <c r="H11" s="2" t="str">
        <f t="shared" ref="H11:H17" si="7">UPPER("PD")</f>
        <v>PD</v>
      </c>
      <c r="I11" s="2" t="str">
        <f>UPPER("S")</f>
        <v>S</v>
      </c>
      <c r="J11" s="2" t="str">
        <f>UPPER("P")</f>
        <v>P</v>
      </c>
      <c r="K11" s="3"/>
      <c r="L11" s="3"/>
      <c r="M11" s="2" t="str">
        <f>UPPER("1")</f>
        <v>1</v>
      </c>
      <c r="N11" s="2" t="str">
        <f t="shared" si="5"/>
        <v>FU</v>
      </c>
      <c r="O11" s="3"/>
      <c r="P11" s="3"/>
      <c r="Q11" s="3"/>
      <c r="R11" s="3"/>
      <c r="S11" s="2" t="str">
        <f>UPPER("S")</f>
        <v>S</v>
      </c>
      <c r="T11" s="2" t="str">
        <f>UPPER("C")</f>
        <v>C</v>
      </c>
      <c r="U11" s="2" t="str">
        <f>UPPER("S")</f>
        <v>S</v>
      </c>
      <c r="V11" s="2" t="str">
        <f>UPPER("F")</f>
        <v>F</v>
      </c>
      <c r="W11" s="3"/>
      <c r="X11" s="2" t="str">
        <f>UPPER("FABBRRICATO COSTRUITO DALL`ISTITUTO. TERRENO:ATTO REG.TO A ROMA IL 12/12/33 N. 3544 ")</f>
        <v xml:space="preserve">FABBRRICATO COSTRUITO DALL`ISTITUTO. TERRENO:ATTO REG.TO A ROMA IL 12/12/33 N. 3544 </v>
      </c>
      <c r="Y11" s="3"/>
      <c r="Z11" s="3"/>
      <c r="AA11" s="4">
        <f>DATE(2007,11,27)</f>
        <v>39413</v>
      </c>
      <c r="AB11" s="2" t="str">
        <f>UPPER("PADOVA - PD - PIAZZAINSURREZIONE 8")</f>
        <v>PADOVA - PD - PIAZZAINSURREZIONE 8</v>
      </c>
      <c r="AC11" s="2" t="str">
        <f>UPPER("1937")</f>
        <v>1937</v>
      </c>
      <c r="AD11" s="2" t="str">
        <f>UPPER(" 0")</f>
        <v xml:space="preserve"> 0</v>
      </c>
      <c r="AE11" s="5">
        <v>56922</v>
      </c>
      <c r="AF11" s="5">
        <v>15450</v>
      </c>
      <c r="AG11" s="5">
        <v>72372</v>
      </c>
      <c r="AH11" s="3"/>
      <c r="AI11" s="6">
        <v>0</v>
      </c>
      <c r="AJ11" s="5">
        <v>12900</v>
      </c>
      <c r="AK11" s="6">
        <v>0</v>
      </c>
      <c r="AL11" s="5">
        <v>11633</v>
      </c>
      <c r="AM11" s="5">
        <v>2567</v>
      </c>
      <c r="AN11" s="5">
        <v>14200</v>
      </c>
      <c r="AO11" s="5">
        <v>11161</v>
      </c>
      <c r="AP11" s="5">
        <v>7286</v>
      </c>
      <c r="AQ11" s="2" t="str">
        <f>UPPER("Direzione Provinciale")</f>
        <v>DIREZIONE PROVINCIALE</v>
      </c>
    </row>
    <row r="12" spans="1:43" ht="26.25" customHeight="1" x14ac:dyDescent="0.25">
      <c r="A12" s="2" t="str">
        <f>UPPER("06PD03")</f>
        <v>06PD03</v>
      </c>
      <c r="B12" s="2" t="str">
        <f>UPPER("99")</f>
        <v>99</v>
      </c>
      <c r="C12" s="3"/>
      <c r="D12" s="3"/>
      <c r="E12" s="2" t="str">
        <f t="shared" si="6"/>
        <v xml:space="preserve">PADOVA </v>
      </c>
      <c r="F12" s="2" t="str">
        <f>UPPER("VIA DARIO DELU` 3")</f>
        <v>VIA DARIO DELU` 3</v>
      </c>
      <c r="G12" s="2" t="str">
        <f>UPPER("35100")</f>
        <v>35100</v>
      </c>
      <c r="H12" s="2" t="str">
        <f t="shared" si="7"/>
        <v>PD</v>
      </c>
      <c r="I12" s="2" t="str">
        <f>UPPER("S")</f>
        <v>S</v>
      </c>
      <c r="J12" s="2" t="str">
        <f t="shared" ref="J12:J13" si="8">UPPER("P")</f>
        <v>P</v>
      </c>
      <c r="K12" s="3"/>
      <c r="L12" s="3"/>
      <c r="M12" s="3"/>
      <c r="N12" s="2" t="str">
        <f t="shared" si="5"/>
        <v>FU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2" t="str">
        <f>UPPER("PADOVA - PD - VIA DARIO DELU` 3")</f>
        <v>PADOVA - PD - VIA DARIO DELU` 3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2" t="str">
        <f>UPPER("Direzione Provinciale")</f>
        <v>DIREZIONE PROVINCIALE</v>
      </c>
    </row>
    <row r="13" spans="1:43" ht="26.25" customHeight="1" x14ac:dyDescent="0.25">
      <c r="A13" s="2" t="str">
        <f>UPPER("06PD03")</f>
        <v>06PD03</v>
      </c>
      <c r="B13" s="2" t="str">
        <f>UPPER("99")</f>
        <v>99</v>
      </c>
      <c r="C13" s="3"/>
      <c r="D13" s="3"/>
      <c r="E13" s="2" t="str">
        <f t="shared" si="6"/>
        <v xml:space="preserve">PADOVA </v>
      </c>
      <c r="F13" s="2" t="s">
        <v>71</v>
      </c>
      <c r="G13" s="2" t="str">
        <f>UPPER("35100")</f>
        <v>35100</v>
      </c>
      <c r="H13" s="2" t="str">
        <f t="shared" si="7"/>
        <v>PD</v>
      </c>
      <c r="I13" s="2" t="str">
        <f>UPPER("S")</f>
        <v>S</v>
      </c>
      <c r="J13" s="2" t="str">
        <f t="shared" si="8"/>
        <v>P</v>
      </c>
      <c r="K13" s="3"/>
      <c r="L13" s="3"/>
      <c r="M13" s="3"/>
      <c r="N13" s="2" t="str">
        <f t="shared" si="5"/>
        <v>FU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2" t="str">
        <f>UPPER("PADOVA - PD - VIA DARIO DELU` 3")</f>
        <v>PADOVA - PD - VIA DARIO DELU` 3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2" t="str">
        <f>UPPER("Direzione Provinciale")</f>
        <v>DIREZIONE PROVINCIALE</v>
      </c>
    </row>
    <row r="14" spans="1:43" ht="33" x14ac:dyDescent="0.25">
      <c r="A14" s="12" t="str">
        <f>UPPER("06PD62")</f>
        <v>06PD62</v>
      </c>
      <c r="B14" s="12" t="str">
        <f t="shared" ref="B14:B17" si="9">UPPER("06")</f>
        <v>06</v>
      </c>
      <c r="C14" s="12" t="str">
        <f t="shared" ref="C14:C17" si="10">UPPER("0000 ")</f>
        <v xml:space="preserve">0000 </v>
      </c>
      <c r="D14" s="13"/>
      <c r="E14" s="12" t="str">
        <f>UPPER("CAMPOSAMPIERO ")</f>
        <v xml:space="preserve">CAMPOSAMPIERO </v>
      </c>
      <c r="F14" s="12" t="str">
        <f>UPPER("VIA MONTE GRAPPA 1")</f>
        <v>VIA MONTE GRAPPA 1</v>
      </c>
      <c r="G14" s="12" t="str">
        <f>UPPER("35012")</f>
        <v>35012</v>
      </c>
      <c r="H14" s="12" t="str">
        <f t="shared" si="7"/>
        <v>PD</v>
      </c>
      <c r="I14" s="12" t="str">
        <f t="shared" ref="I14:I17" si="11">UPPER("S")</f>
        <v>S</v>
      </c>
      <c r="J14" s="12" t="str">
        <f t="shared" ref="J14:J17" si="12">UPPER("A")</f>
        <v>A</v>
      </c>
      <c r="K14" s="13"/>
      <c r="L14" s="14">
        <f>DATE(1993,6,1)</f>
        <v>34121</v>
      </c>
      <c r="M14" s="13"/>
      <c r="N14" s="12" t="str">
        <f t="shared" ref="N14:N17" si="13">UPPER("FU")</f>
        <v>FU</v>
      </c>
      <c r="O14" s="13"/>
      <c r="P14" s="13"/>
      <c r="Q14" s="13"/>
      <c r="R14" s="13"/>
      <c r="S14" s="12" t="str">
        <f>UPPER("S")</f>
        <v>S</v>
      </c>
      <c r="T14" s="13"/>
      <c r="U14" s="12" t="str">
        <f>UPPER("S")</f>
        <v>S</v>
      </c>
      <c r="V14" s="13"/>
      <c r="W14" s="13"/>
      <c r="X14" s="13"/>
      <c r="Y14" s="13"/>
      <c r="Z14" s="13"/>
      <c r="AA14" s="14">
        <f>DATE(2007,11,26)</f>
        <v>39412</v>
      </c>
      <c r="AB14" s="12" t="str">
        <f>UPPER("CAMPOSAMPIERO - PD - VIA MONTE GRAPPA 1")</f>
        <v>CAMPOSAMPIERO - PD - VIA MONTE GRAPPA 1</v>
      </c>
      <c r="AC14" s="12" t="str">
        <f>UPPER(" 0")</f>
        <v xml:space="preserve"> 0</v>
      </c>
      <c r="AD14" s="12" t="str">
        <f>UPPER("1993")</f>
        <v>1993</v>
      </c>
      <c r="AE14" s="13"/>
      <c r="AF14" s="13"/>
      <c r="AG14" s="16">
        <v>1700</v>
      </c>
      <c r="AH14" s="13"/>
      <c r="AI14" s="13"/>
      <c r="AJ14" s="13"/>
      <c r="AK14" s="13"/>
      <c r="AL14" s="13"/>
      <c r="AM14" s="13"/>
      <c r="AN14" s="15">
        <v>779</v>
      </c>
      <c r="AO14" s="15">
        <v>714</v>
      </c>
      <c r="AP14" s="15">
        <v>521</v>
      </c>
      <c r="AQ14" s="12" t="str">
        <f>UPPER("Agenzia ")</f>
        <v xml:space="preserve">AGENZIA </v>
      </c>
    </row>
    <row r="15" spans="1:43" ht="33" x14ac:dyDescent="0.25">
      <c r="A15" s="2" t="str">
        <f>UPPER("06PD63")</f>
        <v>06PD63</v>
      </c>
      <c r="B15" s="2" t="str">
        <f t="shared" si="9"/>
        <v>06</v>
      </c>
      <c r="C15" s="2" t="str">
        <f t="shared" si="10"/>
        <v xml:space="preserve">0000 </v>
      </c>
      <c r="D15" s="3"/>
      <c r="E15" s="2" t="s">
        <v>45</v>
      </c>
      <c r="F15" s="2" t="str">
        <f>UPPER("VIA CA` NAVE 2/F")</f>
        <v>VIA CA` NAVE 2/F</v>
      </c>
      <c r="G15" s="2" t="str">
        <f>UPPER("35013")</f>
        <v>35013</v>
      </c>
      <c r="H15" s="2" t="str">
        <f t="shared" si="7"/>
        <v>PD</v>
      </c>
      <c r="I15" s="2" t="str">
        <f t="shared" si="11"/>
        <v>S</v>
      </c>
      <c r="J15" s="2" t="str">
        <f t="shared" si="12"/>
        <v>A</v>
      </c>
      <c r="K15" s="3"/>
      <c r="L15" s="3"/>
      <c r="M15" s="3"/>
      <c r="N15" s="2" t="str">
        <f t="shared" si="13"/>
        <v>FU</v>
      </c>
      <c r="O15" s="3"/>
      <c r="P15" s="3"/>
      <c r="Q15" s="3"/>
      <c r="R15" s="3"/>
      <c r="S15" s="2" t="str">
        <f>UPPER("C")</f>
        <v>C</v>
      </c>
      <c r="T15" s="3"/>
      <c r="U15" s="2" t="str">
        <f>UPPER("C")</f>
        <v>C</v>
      </c>
      <c r="V15" s="3"/>
      <c r="W15" s="3"/>
      <c r="X15" s="3"/>
      <c r="Y15" s="3"/>
      <c r="Z15" s="3"/>
      <c r="AA15" s="4">
        <f>DATE(2001,1,11)</f>
        <v>36902</v>
      </c>
      <c r="AB15" s="2" t="str">
        <f>UPPER("CITTADELLA 2 - PD - VIA CA` NAVE 2/F")</f>
        <v>CITTADELLA 2 - PD - VIA CA` NAVE 2/F</v>
      </c>
      <c r="AC15" s="2" t="str">
        <f>UPPER(" 0")</f>
        <v xml:space="preserve"> 0</v>
      </c>
      <c r="AD15" s="2" t="str">
        <f>UPPER("1991")</f>
        <v>1991</v>
      </c>
      <c r="AE15" s="3"/>
      <c r="AF15" s="3"/>
      <c r="AG15" s="5">
        <v>2640</v>
      </c>
      <c r="AH15" s="3"/>
      <c r="AI15" s="3"/>
      <c r="AJ15" s="3"/>
      <c r="AK15" s="3"/>
      <c r="AL15" s="3"/>
      <c r="AM15" s="3"/>
      <c r="AN15" s="6">
        <v>880</v>
      </c>
      <c r="AO15" s="6">
        <v>780</v>
      </c>
      <c r="AP15" s="6">
        <v>658</v>
      </c>
      <c r="AQ15" s="2" t="str">
        <f>UPPER("Agenzia ")</f>
        <v xml:space="preserve">AGENZIA </v>
      </c>
    </row>
    <row r="16" spans="1:43" ht="36" customHeight="1" x14ac:dyDescent="0.25">
      <c r="A16" s="2" t="str">
        <f>UPPER("06PD64")</f>
        <v>06PD64</v>
      </c>
      <c r="B16" s="2" t="str">
        <f t="shared" si="9"/>
        <v>06</v>
      </c>
      <c r="C16" s="2" t="str">
        <f t="shared" si="10"/>
        <v xml:space="preserve">0000 </v>
      </c>
      <c r="D16" s="3"/>
      <c r="E16" s="2" t="str">
        <f>UPPER("PIOVE DI SACCO")</f>
        <v>PIOVE DI SACCO</v>
      </c>
      <c r="F16" s="12" t="s">
        <v>58</v>
      </c>
      <c r="G16" s="2" t="str">
        <f>UPPER("35028")</f>
        <v>35028</v>
      </c>
      <c r="H16" s="2" t="str">
        <f t="shared" si="7"/>
        <v>PD</v>
      </c>
      <c r="I16" s="2" t="str">
        <f t="shared" si="11"/>
        <v>S</v>
      </c>
      <c r="J16" s="2" t="str">
        <f t="shared" si="12"/>
        <v>A</v>
      </c>
      <c r="K16" s="3"/>
      <c r="L16" s="3"/>
      <c r="M16" s="3"/>
      <c r="N16" s="2" t="str">
        <f t="shared" si="13"/>
        <v>FU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">
        <f>DATE(2013,7,3)</f>
        <v>41458</v>
      </c>
      <c r="AB16" s="2" t="str">
        <f>UPPER("PIOVE DI SACCO - PD - VIA BORGO PADOVA 8")</f>
        <v>PIOVE DI SACCO - PD - VIA BORGO PADOVA 8</v>
      </c>
      <c r="AC16" s="2" t="str">
        <f>UPPER(" 0")</f>
        <v xml:space="preserve"> 0</v>
      </c>
      <c r="AD16" s="2" t="str">
        <f>UPPER(" 0")</f>
        <v xml:space="preserve"> 0</v>
      </c>
      <c r="AE16" s="3"/>
      <c r="AF16" s="3"/>
      <c r="AG16" s="6">
        <v>0</v>
      </c>
      <c r="AH16" s="3"/>
      <c r="AI16" s="3"/>
      <c r="AJ16" s="3"/>
      <c r="AK16" s="3"/>
      <c r="AL16" s="3"/>
      <c r="AM16" s="3"/>
      <c r="AN16" s="5">
        <v>1320</v>
      </c>
      <c r="AO16" s="5">
        <v>1200</v>
      </c>
      <c r="AP16" s="5">
        <v>1099</v>
      </c>
      <c r="AQ16" s="2" t="str">
        <f>UPPER("Agenzia ")</f>
        <v xml:space="preserve">AGENZIA </v>
      </c>
    </row>
    <row r="17" spans="1:43" ht="28.5" customHeight="1" x14ac:dyDescent="0.25">
      <c r="A17" s="2" t="str">
        <f>UPPER("06PD65")</f>
        <v>06PD65</v>
      </c>
      <c r="B17" s="2" t="str">
        <f t="shared" si="9"/>
        <v>06</v>
      </c>
      <c r="C17" s="2" t="str">
        <f t="shared" si="10"/>
        <v xml:space="preserve">0000 </v>
      </c>
      <c r="D17" s="3"/>
      <c r="E17" s="2" t="s">
        <v>46</v>
      </c>
      <c r="F17" s="2" t="str">
        <f>UPPER("VIA PIETRO TONO 8")</f>
        <v>VIA PIETRO TONO 8</v>
      </c>
      <c r="G17" s="2" t="str">
        <f>UPPER("35042")</f>
        <v>35042</v>
      </c>
      <c r="H17" s="2" t="str">
        <f t="shared" si="7"/>
        <v>PD</v>
      </c>
      <c r="I17" s="2" t="str">
        <f t="shared" si="11"/>
        <v>S</v>
      </c>
      <c r="J17" s="2" t="str">
        <f t="shared" si="12"/>
        <v>A</v>
      </c>
      <c r="K17" s="3"/>
      <c r="L17" s="3"/>
      <c r="M17" s="3"/>
      <c r="N17" s="2" t="str">
        <f t="shared" si="13"/>
        <v>FU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">
        <f>DATE(2013,7,3)</f>
        <v>41458</v>
      </c>
      <c r="AB17" s="2" t="str">
        <f>UPPER("ESTE 2 - PD - VIA PIETRO TONO 8")</f>
        <v>ESTE 2 - PD - VIA PIETRO TONO 8</v>
      </c>
      <c r="AC17" s="2" t="str">
        <f>UPPER(" 0")</f>
        <v xml:space="preserve"> 0</v>
      </c>
      <c r="AD17" s="2" t="str">
        <f>UPPER(" 0")</f>
        <v xml:space="preserve"> 0</v>
      </c>
      <c r="AE17" s="3"/>
      <c r="AF17" s="3"/>
      <c r="AG17" s="6">
        <v>0</v>
      </c>
      <c r="AH17" s="3"/>
      <c r="AI17" s="3"/>
      <c r="AJ17" s="3"/>
      <c r="AK17" s="3"/>
      <c r="AL17" s="3"/>
      <c r="AM17" s="3"/>
      <c r="AN17" s="6">
        <v>885</v>
      </c>
      <c r="AO17" s="6">
        <v>795</v>
      </c>
      <c r="AP17" s="6">
        <v>640</v>
      </c>
      <c r="AQ17" s="2" t="str">
        <f>UPPER("Agenzia ")</f>
        <v xml:space="preserve">AGENZIA </v>
      </c>
    </row>
    <row r="18" spans="1:43" x14ac:dyDescent="0.25">
      <c r="A18" s="25" t="s">
        <v>66</v>
      </c>
      <c r="B18" s="26"/>
      <c r="C18" s="26"/>
      <c r="D18" s="26"/>
      <c r="E18" s="27"/>
      <c r="F18" s="17"/>
      <c r="G18" s="17"/>
      <c r="H18" s="17"/>
      <c r="I18" s="17"/>
      <c r="J18" s="18"/>
      <c r="K18" s="18"/>
      <c r="L18" s="18"/>
      <c r="M18" s="18"/>
      <c r="N18" s="17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/>
      <c r="AB18" s="17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7"/>
    </row>
    <row r="19" spans="1:43" ht="29.25" customHeight="1" x14ac:dyDescent="0.25">
      <c r="A19" s="2" t="str">
        <f>UPPER("06RO00")</f>
        <v>06RO00</v>
      </c>
      <c r="B19" s="2" t="str">
        <f>UPPER("06")</f>
        <v>06</v>
      </c>
      <c r="C19" s="2" t="str">
        <f>UPPER("0000 ")</f>
        <v xml:space="preserve">0000 </v>
      </c>
      <c r="D19" s="2" t="str">
        <f>UPPER("09/33")</f>
        <v>09/33</v>
      </c>
      <c r="E19" s="2" t="str">
        <f>UPPER("ROVIGO ")</f>
        <v xml:space="preserve">ROVIGO </v>
      </c>
      <c r="F19" s="2" t="str">
        <f>UPPER("PIAZZA FRATELLI CERVI 4 - 5")</f>
        <v>PIAZZA FRATELLI CERVI 4 - 5</v>
      </c>
      <c r="G19" s="2" t="str">
        <f>UPPER("45100")</f>
        <v>45100</v>
      </c>
      <c r="H19" s="2" t="str">
        <f t="shared" ref="H19:H21" si="14">UPPER("RO")</f>
        <v>RO</v>
      </c>
      <c r="I19" s="2" t="str">
        <f>UPPER("S")</f>
        <v>S</v>
      </c>
      <c r="J19" s="2" t="str">
        <f t="shared" ref="J19" si="15">UPPER("P")</f>
        <v>P</v>
      </c>
      <c r="K19" s="3"/>
      <c r="L19" s="3"/>
      <c r="M19" s="2" t="str">
        <f>UPPER("1")</f>
        <v>1</v>
      </c>
      <c r="N19" s="2" t="str">
        <f t="shared" ref="N19" si="16">UPPER("FU")</f>
        <v>FU</v>
      </c>
      <c r="O19" s="3"/>
      <c r="P19" s="3"/>
      <c r="Q19" s="3"/>
      <c r="R19" s="3"/>
      <c r="S19" s="2" t="str">
        <f>UPPER("S")</f>
        <v>S</v>
      </c>
      <c r="T19" s="2" t="str">
        <f>UPPER("C")</f>
        <v>C</v>
      </c>
      <c r="U19" s="2" t="str">
        <f>UPPER("S")</f>
        <v>S</v>
      </c>
      <c r="V19" s="2" t="str">
        <f>UPPER("F")</f>
        <v>F</v>
      </c>
      <c r="W19" s="4">
        <f>DATE(1953,3,25)</f>
        <v>19443</v>
      </c>
      <c r="X19" s="2" t="str">
        <f>UPPER("PROV. COM DI ROVIGO ATTO NOT. DR. MARIOTTI DEL 25/3/53-REP. N. 19302 REG.TO A ROVIGO L`11/4/53. ")</f>
        <v xml:space="preserve">PROV. COM DI ROVIGO ATTO NOT. DR. MARIOTTI DEL 25/3/53-REP. N. 19302 REG.TO A ROVIGO L`11/4/53. </v>
      </c>
      <c r="Y19" s="3"/>
      <c r="Z19" s="3"/>
      <c r="AA19" s="4">
        <f>DATE(2001,1,9)</f>
        <v>36900</v>
      </c>
      <c r="AB19" s="2" t="str">
        <f>UPPER("ROVIGO - RO - PIAZZA FRATELLI CERVI 4 - 5")</f>
        <v>ROVIGO - RO - PIAZZA FRATELLI CERVI 4 - 5</v>
      </c>
      <c r="AC19" s="2" t="str">
        <f>UPPER("1956")</f>
        <v>1956</v>
      </c>
      <c r="AD19" s="2" t="str">
        <f>UPPER(" 0")</f>
        <v xml:space="preserve"> 0</v>
      </c>
      <c r="AE19" s="5">
        <v>23577</v>
      </c>
      <c r="AF19" s="5">
        <v>1689</v>
      </c>
      <c r="AG19" s="5">
        <v>25266</v>
      </c>
      <c r="AH19" s="3"/>
      <c r="AI19" s="5">
        <v>21474</v>
      </c>
      <c r="AJ19" s="5">
        <v>6038</v>
      </c>
      <c r="AK19" s="6">
        <v>0</v>
      </c>
      <c r="AL19" s="5">
        <v>6038</v>
      </c>
      <c r="AM19" s="5">
        <v>1206</v>
      </c>
      <c r="AN19" s="5">
        <v>7244</v>
      </c>
      <c r="AO19" s="5">
        <v>6450</v>
      </c>
      <c r="AP19" s="5">
        <v>5209</v>
      </c>
      <c r="AQ19" s="2" t="str">
        <f>UPPER("Direzione Provinciale")</f>
        <v>DIREZIONE PROVINCIALE</v>
      </c>
    </row>
    <row r="20" spans="1:43" ht="22.5" x14ac:dyDescent="0.25">
      <c r="A20" s="7" t="str">
        <f>UPPER("06RO60")</f>
        <v>06RO60</v>
      </c>
      <c r="B20" s="7" t="str">
        <f t="shared" ref="B20:B21" si="17">UPPER("06")</f>
        <v>06</v>
      </c>
      <c r="C20" s="7" t="str">
        <f t="shared" ref="C20" si="18">UPPER("0000 ")</f>
        <v xml:space="preserve">0000 </v>
      </c>
      <c r="D20" s="8"/>
      <c r="E20" s="7" t="str">
        <f>UPPER("ADRIA ")</f>
        <v xml:space="preserve">ADRIA </v>
      </c>
      <c r="F20" s="7" t="s">
        <v>63</v>
      </c>
      <c r="G20" s="7" t="str">
        <f>UPPER("45011")</f>
        <v>45011</v>
      </c>
      <c r="H20" s="7" t="str">
        <f t="shared" si="14"/>
        <v>RO</v>
      </c>
      <c r="I20" s="7" t="str">
        <f>UPPER("S")</f>
        <v>S</v>
      </c>
      <c r="J20" s="7" t="str">
        <f>UPPER("A")</f>
        <v>A</v>
      </c>
      <c r="K20" s="8"/>
      <c r="L20" s="8"/>
      <c r="M20" s="8"/>
      <c r="N20" s="7" t="str">
        <f t="shared" ref="N20:N28" si="19">UPPER("FU")</f>
        <v>FU</v>
      </c>
      <c r="O20" s="8"/>
      <c r="P20" s="8"/>
      <c r="Q20" s="8"/>
      <c r="R20" s="8"/>
      <c r="S20" s="7" t="str">
        <f>UPPER("S")</f>
        <v>S</v>
      </c>
      <c r="T20" s="8"/>
      <c r="U20" s="7" t="str">
        <f>UPPER("S")</f>
        <v>S</v>
      </c>
      <c r="V20" s="8"/>
      <c r="W20" s="8"/>
      <c r="X20" s="8"/>
      <c r="Y20" s="8"/>
      <c r="Z20" s="8"/>
      <c r="AA20" s="9">
        <f>DATE(2007,11,26)</f>
        <v>39412</v>
      </c>
      <c r="AB20" s="7" t="str">
        <f>UPPER("ADRIA - RO - VIA LUPATI 26")</f>
        <v>ADRIA - RO - VIA LUPATI 26</v>
      </c>
      <c r="AC20" s="7" t="str">
        <f>UPPER("1982")</f>
        <v>1982</v>
      </c>
      <c r="AD20" s="7" t="str">
        <f>UPPER(" 0")</f>
        <v xml:space="preserve"> 0</v>
      </c>
      <c r="AE20" s="8"/>
      <c r="AF20" s="8"/>
      <c r="AG20" s="10">
        <v>1590</v>
      </c>
      <c r="AH20" s="8"/>
      <c r="AI20" s="8"/>
      <c r="AJ20" s="8"/>
      <c r="AK20" s="8"/>
      <c r="AL20" s="8"/>
      <c r="AM20" s="8"/>
      <c r="AN20" s="11">
        <v>530</v>
      </c>
      <c r="AO20" s="11">
        <v>478</v>
      </c>
      <c r="AP20" s="11">
        <v>478</v>
      </c>
      <c r="AQ20" s="7" t="str">
        <f>UPPER("Agenzia ")</f>
        <v xml:space="preserve">AGENZIA </v>
      </c>
    </row>
    <row r="21" spans="1:43" ht="22.5" x14ac:dyDescent="0.25">
      <c r="A21" s="7" t="str">
        <f>UPPER("06RO64")</f>
        <v>06RO64</v>
      </c>
      <c r="B21" s="7" t="str">
        <f t="shared" si="17"/>
        <v>06</v>
      </c>
      <c r="C21" s="8"/>
      <c r="D21" s="8"/>
      <c r="E21" s="7" t="str">
        <f>UPPER("BADIA POLESINE")</f>
        <v>BADIA POLESINE</v>
      </c>
      <c r="F21" s="7" t="s">
        <v>72</v>
      </c>
      <c r="G21" s="7" t="str">
        <f>UPPER("45021")</f>
        <v>45021</v>
      </c>
      <c r="H21" s="7" t="str">
        <f t="shared" si="14"/>
        <v>RO</v>
      </c>
      <c r="I21" s="7" t="str">
        <f>UPPER("S")</f>
        <v>S</v>
      </c>
      <c r="J21" s="7" t="str">
        <f>UPPER("A")</f>
        <v>A</v>
      </c>
      <c r="K21" s="8"/>
      <c r="L21" s="8"/>
      <c r="M21" s="8"/>
      <c r="N21" s="7" t="str">
        <f t="shared" si="19"/>
        <v>FU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9">
        <f>DATE(2013,7,3)</f>
        <v>41458</v>
      </c>
      <c r="AB21" s="7" t="str">
        <f>UPPER("BADIA POLESINE - RO - VIA ROMA 48")</f>
        <v>BADIA POLESINE - RO - VIA ROMA 48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7" t="str">
        <f>UPPER("Agenzia ")</f>
        <v xml:space="preserve">AGENZIA </v>
      </c>
    </row>
    <row r="22" spans="1:43" x14ac:dyDescent="0.25">
      <c r="A22" s="25" t="s">
        <v>67</v>
      </c>
      <c r="B22" s="26"/>
      <c r="C22" s="26"/>
      <c r="D22" s="26"/>
      <c r="E22" s="27"/>
      <c r="F22" s="17"/>
      <c r="G22" s="17"/>
      <c r="H22" s="17"/>
      <c r="I22" s="17"/>
      <c r="J22" s="17"/>
      <c r="K22" s="18"/>
      <c r="L22" s="18"/>
      <c r="M22" s="18"/>
      <c r="N22" s="17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9"/>
      <c r="AB22" s="17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7"/>
    </row>
    <row r="23" spans="1:43" ht="31.5" customHeight="1" x14ac:dyDescent="0.25">
      <c r="A23" s="2" t="str">
        <f>UPPER("06TV00")</f>
        <v>06TV00</v>
      </c>
      <c r="B23" s="2" t="str">
        <f>UPPER("06")</f>
        <v>06</v>
      </c>
      <c r="C23" s="2" t="str">
        <f>UPPER("0000 ")</f>
        <v xml:space="preserve">0000 </v>
      </c>
      <c r="D23" s="2" t="str">
        <f>UPPER("14/53")</f>
        <v>14/53</v>
      </c>
      <c r="E23" s="2" t="str">
        <f>UPPER("TREVISO ")</f>
        <v xml:space="preserve">TREVISO </v>
      </c>
      <c r="F23" s="2" t="str">
        <f>UPPER("VIALE TRENTO E TRIESTE 6")</f>
        <v>VIALE TRENTO E TRIESTE 6</v>
      </c>
      <c r="G23" s="2" t="str">
        <f>UPPER("31100")</f>
        <v>31100</v>
      </c>
      <c r="H23" s="2" t="str">
        <f t="shared" ref="H23:H28" si="20">UPPER("TV")</f>
        <v>TV</v>
      </c>
      <c r="I23" s="2" t="str">
        <f t="shared" ref="I23:I24" si="21">UPPER("S")</f>
        <v>S</v>
      </c>
      <c r="J23" s="2" t="str">
        <f>UPPER("P")</f>
        <v>P</v>
      </c>
      <c r="K23" s="3"/>
      <c r="L23" s="4">
        <f>DATE(1964,1,1)</f>
        <v>23377</v>
      </c>
      <c r="M23" s="2" t="str">
        <f>UPPER("1")</f>
        <v>1</v>
      </c>
      <c r="N23" s="2" t="str">
        <f t="shared" si="19"/>
        <v>FU</v>
      </c>
      <c r="O23" s="3"/>
      <c r="P23" s="3"/>
      <c r="Q23" s="3"/>
      <c r="R23" s="3"/>
      <c r="S23" s="2" t="str">
        <f>UPPER("A")</f>
        <v>A</v>
      </c>
      <c r="T23" s="2" t="str">
        <f>UPPER("C")</f>
        <v>C</v>
      </c>
      <c r="U23" s="2" t="str">
        <f>UPPER("A")</f>
        <v>A</v>
      </c>
      <c r="V23" s="2" t="str">
        <f>UPPER("F")</f>
        <v>F</v>
      </c>
      <c r="W23" s="3"/>
      <c r="X23" s="2" t="str">
        <f>UPPER("COSTR.DALL`IST.SU AREA DI PROPR.E INAUG.IL 13/7/63A/COMPR.TERR.N.25367 REG.TREV.IL 25/10/58 N.1133- ")</f>
        <v xml:space="preserve">COSTR.DALL`IST.SU AREA DI PROPR.E INAUG.IL 13/7/63A/COMPR.TERR.N.25367 REG.TREV.IL 25/10/58 N.1133- </v>
      </c>
      <c r="Y23" s="3"/>
      <c r="Z23" s="3"/>
      <c r="AA23" s="4">
        <f>DATE(2001,1,9)</f>
        <v>36900</v>
      </c>
      <c r="AB23" s="2" t="str">
        <f>UPPER("TREVISO - TV - VIALE TRENTO E TRIESTE 6")</f>
        <v>TREVISO - TV - VIALE TRENTO E TRIESTE 6</v>
      </c>
      <c r="AC23" s="2" t="str">
        <f>UPPER("1964")</f>
        <v>1964</v>
      </c>
      <c r="AD23" s="2" t="str">
        <f>UPPER(" 0")</f>
        <v xml:space="preserve"> 0</v>
      </c>
      <c r="AE23" s="5">
        <v>23067</v>
      </c>
      <c r="AF23" s="5">
        <v>2360</v>
      </c>
      <c r="AG23" s="5">
        <v>25427</v>
      </c>
      <c r="AH23" s="3"/>
      <c r="AI23" s="5">
        <v>22518</v>
      </c>
      <c r="AJ23" s="5">
        <v>6202</v>
      </c>
      <c r="AK23" s="6">
        <v>0</v>
      </c>
      <c r="AL23" s="5">
        <v>6180</v>
      </c>
      <c r="AM23" s="6">
        <v>0</v>
      </c>
      <c r="AN23" s="5">
        <v>6779</v>
      </c>
      <c r="AO23" s="5">
        <v>5963</v>
      </c>
      <c r="AP23" s="5">
        <v>2357</v>
      </c>
      <c r="AQ23" s="2" t="str">
        <f>UPPER("Direzione Provinciale")</f>
        <v>DIREZIONE PROVINCIALE</v>
      </c>
    </row>
    <row r="24" spans="1:43" ht="28.5" customHeight="1" x14ac:dyDescent="0.25">
      <c r="A24" s="2" t="str">
        <f>UPPER("06TV01")</f>
        <v>06TV01</v>
      </c>
      <c r="B24" s="2" t="str">
        <f>UPPER("06")</f>
        <v>06</v>
      </c>
      <c r="C24" s="2" t="str">
        <f>UPPER("0000 ")</f>
        <v xml:space="preserve">0000 </v>
      </c>
      <c r="D24" s="2" t="str">
        <f>UPPER("15/57")</f>
        <v>15/57</v>
      </c>
      <c r="E24" s="2" t="str">
        <f>UPPER("TREVISO ")</f>
        <v xml:space="preserve">TREVISO </v>
      </c>
      <c r="F24" s="2" t="str">
        <f>UPPER("VIA BOLZANO 10")</f>
        <v>VIA BOLZANO 10</v>
      </c>
      <c r="G24" s="2" t="str">
        <f>UPPER("31100")</f>
        <v>31100</v>
      </c>
      <c r="H24" s="2" t="str">
        <f t="shared" si="20"/>
        <v>TV</v>
      </c>
      <c r="I24" s="2" t="str">
        <f t="shared" si="21"/>
        <v>S</v>
      </c>
      <c r="J24" s="2" t="str">
        <f>UPPER("P")</f>
        <v>P</v>
      </c>
      <c r="K24" s="3"/>
      <c r="L24" s="4">
        <f>DATE(1956,1,1)</f>
        <v>20455</v>
      </c>
      <c r="M24" s="2" t="str">
        <f>UPPER("1")</f>
        <v>1</v>
      </c>
      <c r="N24" s="2" t="str">
        <f t="shared" si="19"/>
        <v>FU</v>
      </c>
      <c r="O24" s="3"/>
      <c r="P24" s="3"/>
      <c r="Q24" s="3"/>
      <c r="R24" s="3"/>
      <c r="S24" s="2" t="str">
        <f>UPPER("A")</f>
        <v>A</v>
      </c>
      <c r="T24" s="2" t="str">
        <f>UPPER("C")</f>
        <v>C</v>
      </c>
      <c r="U24" s="2" t="str">
        <f>UPPER("A")</f>
        <v>A</v>
      </c>
      <c r="V24" s="2" t="str">
        <f>UPPER("F")</f>
        <v>F</v>
      </c>
      <c r="W24" s="3"/>
      <c r="X24" s="2" t="str">
        <f>UPPER("COMPR.FABBR. N.21187 DI REP. NOT.DR.PASCUCCI DI NOALE IN DATA 12/2/82 ")</f>
        <v xml:space="preserve">COMPR.FABBR. N.21187 DI REP. NOT.DR.PASCUCCI DI NOALE IN DATA 12/2/82 </v>
      </c>
      <c r="Y24" s="2" t="str">
        <f>UPPER("SERV. PASS.PER CONDOMINI NELL`AREA ANTIST. LO STABSERVITU` DI FOGNATURA. ")</f>
        <v xml:space="preserve">SERV. PASS.PER CONDOMINI NELL`AREA ANTIST. LO STABSERVITU` DI FOGNATURA. </v>
      </c>
      <c r="Z24" s="3"/>
      <c r="AA24" s="4">
        <f>DATE(2001,1,9)</f>
        <v>36900</v>
      </c>
      <c r="AB24" s="2" t="str">
        <f>UPPER("TREVISO - TV - VIA BOLZANO 10")</f>
        <v>TREVISO - TV - VIA BOLZANO 10</v>
      </c>
      <c r="AC24" s="2" t="str">
        <f>UPPER("1956")</f>
        <v>1956</v>
      </c>
      <c r="AD24" s="2" t="str">
        <f>UPPER("1982")</f>
        <v>1982</v>
      </c>
      <c r="AE24" s="5">
        <v>5378</v>
      </c>
      <c r="AF24" s="6">
        <v>0</v>
      </c>
      <c r="AG24" s="5">
        <v>5378</v>
      </c>
      <c r="AH24" s="3"/>
      <c r="AI24" s="5">
        <v>5352</v>
      </c>
      <c r="AJ24" s="5">
        <v>1296</v>
      </c>
      <c r="AK24" s="6">
        <v>0</v>
      </c>
      <c r="AL24" s="5">
        <v>1463</v>
      </c>
      <c r="AM24" s="6">
        <v>0</v>
      </c>
      <c r="AN24" s="5">
        <v>1463</v>
      </c>
      <c r="AO24" s="5">
        <v>1296</v>
      </c>
      <c r="AP24" s="6">
        <v>787</v>
      </c>
      <c r="AQ24" s="2" t="str">
        <f>UPPER("Direzione Provinciale")</f>
        <v>DIREZIONE PROVINCIALE</v>
      </c>
    </row>
    <row r="25" spans="1:43" ht="33" x14ac:dyDescent="0.25">
      <c r="A25" s="7" t="str">
        <f>UPPER("06TV62")</f>
        <v>06TV62</v>
      </c>
      <c r="B25" s="7" t="str">
        <f t="shared" ref="B25:B28" si="22">UPPER("06")</f>
        <v>06</v>
      </c>
      <c r="C25" s="7" t="str">
        <f t="shared" ref="C25:C28" si="23">UPPER("0000 ")</f>
        <v xml:space="preserve">0000 </v>
      </c>
      <c r="D25" s="8"/>
      <c r="E25" s="7" t="str">
        <f>UPPER("ODERZO ")</f>
        <v xml:space="preserve">ODERZO </v>
      </c>
      <c r="F25" s="7" t="str">
        <f>UPPER("VIA C.BATTISTI 54")</f>
        <v>VIA C.BATTISTI 54</v>
      </c>
      <c r="G25" s="7" t="str">
        <f>UPPER("31046")</f>
        <v>31046</v>
      </c>
      <c r="H25" s="7" t="str">
        <f t="shared" si="20"/>
        <v>TV</v>
      </c>
      <c r="I25" s="7" t="str">
        <f t="shared" ref="I25:I28" si="24">UPPER("S")</f>
        <v>S</v>
      </c>
      <c r="J25" s="7" t="str">
        <f t="shared" ref="J25:J28" si="25">UPPER("A")</f>
        <v>A</v>
      </c>
      <c r="K25" s="8"/>
      <c r="L25" s="8"/>
      <c r="M25" s="8"/>
      <c r="N25" s="7" t="str">
        <f t="shared" si="19"/>
        <v>FU</v>
      </c>
      <c r="O25" s="8"/>
      <c r="P25" s="8"/>
      <c r="Q25" s="8"/>
      <c r="R25" s="8"/>
      <c r="S25" s="7" t="str">
        <f>UPPER("A")</f>
        <v>A</v>
      </c>
      <c r="T25" s="8"/>
      <c r="U25" s="7" t="str">
        <f>UPPER("A")</f>
        <v>A</v>
      </c>
      <c r="V25" s="8"/>
      <c r="W25" s="8"/>
      <c r="X25" s="8"/>
      <c r="Y25" s="8"/>
      <c r="Z25" s="8"/>
      <c r="AA25" s="9">
        <f t="shared" ref="AA25:AA26" si="26">DATE(2007,11,26)</f>
        <v>39412</v>
      </c>
      <c r="AB25" s="7" t="str">
        <f>UPPER("ODERZO - TV - VIA C.BATTISTI 54")</f>
        <v>ODERZO - TV - VIA C.BATTISTI 54</v>
      </c>
      <c r="AC25" s="7" t="str">
        <f>UPPER("1992")</f>
        <v>1992</v>
      </c>
      <c r="AD25" s="7" t="str">
        <f t="shared" ref="AD25:AD28" si="27">UPPER(" 0")</f>
        <v xml:space="preserve"> 0</v>
      </c>
      <c r="AE25" s="8"/>
      <c r="AF25" s="8"/>
      <c r="AG25" s="10">
        <v>2268</v>
      </c>
      <c r="AH25" s="8"/>
      <c r="AI25" s="8"/>
      <c r="AJ25" s="8"/>
      <c r="AK25" s="8"/>
      <c r="AL25" s="8"/>
      <c r="AM25" s="8"/>
      <c r="AN25" s="11">
        <v>735</v>
      </c>
      <c r="AO25" s="11">
        <v>645</v>
      </c>
      <c r="AP25" s="11">
        <v>407</v>
      </c>
      <c r="AQ25" s="7" t="str">
        <f>UPPER("Agenzia ")</f>
        <v xml:space="preserve">AGENZIA </v>
      </c>
    </row>
    <row r="26" spans="1:43" ht="33" x14ac:dyDescent="0.25">
      <c r="A26" s="7" t="str">
        <f>UPPER("06TV64")</f>
        <v>06TV64</v>
      </c>
      <c r="B26" s="7" t="str">
        <f t="shared" si="22"/>
        <v>06</v>
      </c>
      <c r="C26" s="7" t="str">
        <f t="shared" si="23"/>
        <v xml:space="preserve">0000 </v>
      </c>
      <c r="D26" s="8"/>
      <c r="E26" s="7" t="s">
        <v>48</v>
      </c>
      <c r="F26" s="7" t="str">
        <f>UPPER("VIA PASTRO 10")</f>
        <v>VIA PASTRO 10</v>
      </c>
      <c r="G26" s="7" t="str">
        <f>UPPER("31044")</f>
        <v>31044</v>
      </c>
      <c r="H26" s="7" t="str">
        <f t="shared" si="20"/>
        <v>TV</v>
      </c>
      <c r="I26" s="7" t="str">
        <f t="shared" si="24"/>
        <v>S</v>
      </c>
      <c r="J26" s="7" t="str">
        <f t="shared" si="25"/>
        <v>A</v>
      </c>
      <c r="K26" s="8"/>
      <c r="L26" s="8"/>
      <c r="M26" s="8"/>
      <c r="N26" s="7" t="str">
        <f t="shared" si="19"/>
        <v>FU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9">
        <f t="shared" si="26"/>
        <v>39412</v>
      </c>
      <c r="AB26" s="7" t="str">
        <f>UPPER("MONTEBELLUNA 2 - TV - VIA PASTRO 10")</f>
        <v>MONTEBELLUNA 2 - TV - VIA PASTRO 10</v>
      </c>
      <c r="AC26" s="7" t="str">
        <f>UPPER(" 0")</f>
        <v xml:space="preserve"> 0</v>
      </c>
      <c r="AD26" s="7" t="str">
        <f t="shared" si="27"/>
        <v xml:space="preserve"> 0</v>
      </c>
      <c r="AE26" s="8"/>
      <c r="AF26" s="8"/>
      <c r="AG26" s="11">
        <v>0</v>
      </c>
      <c r="AH26" s="8"/>
      <c r="AI26" s="8"/>
      <c r="AJ26" s="8"/>
      <c r="AK26" s="8"/>
      <c r="AL26" s="8"/>
      <c r="AM26" s="8"/>
      <c r="AN26" s="11">
        <v>0</v>
      </c>
      <c r="AO26" s="11">
        <v>0</v>
      </c>
      <c r="AP26" s="11">
        <v>0</v>
      </c>
      <c r="AQ26" s="7" t="str">
        <f>UPPER("Agenzia ")</f>
        <v xml:space="preserve">AGENZIA </v>
      </c>
    </row>
    <row r="27" spans="1:43" ht="36" customHeight="1" x14ac:dyDescent="0.25">
      <c r="A27" s="2" t="str">
        <f>UPPER("06TV66")</f>
        <v>06TV66</v>
      </c>
      <c r="B27" s="2" t="str">
        <f t="shared" si="22"/>
        <v>06</v>
      </c>
      <c r="C27" s="2" t="str">
        <f t="shared" si="23"/>
        <v xml:space="preserve">0000 </v>
      </c>
      <c r="D27" s="3"/>
      <c r="E27" s="2" t="str">
        <f>UPPER("CASTELFRANCO V.TO")</f>
        <v>CASTELFRANCO V.TO</v>
      </c>
      <c r="F27" s="12" t="s">
        <v>59</v>
      </c>
      <c r="G27" s="2" t="str">
        <f>UPPER("31033")</f>
        <v>31033</v>
      </c>
      <c r="H27" s="2" t="str">
        <f t="shared" si="20"/>
        <v>TV</v>
      </c>
      <c r="I27" s="2" t="str">
        <f t="shared" si="24"/>
        <v>S</v>
      </c>
      <c r="J27" s="2" t="str">
        <f t="shared" si="25"/>
        <v>A</v>
      </c>
      <c r="K27" s="3"/>
      <c r="L27" s="3"/>
      <c r="M27" s="3"/>
      <c r="N27" s="2" t="str">
        <f t="shared" si="19"/>
        <v>FU</v>
      </c>
      <c r="O27" s="3"/>
      <c r="P27" s="3"/>
      <c r="Q27" s="3"/>
      <c r="R27" s="3"/>
      <c r="S27" s="2" t="str">
        <f>UPPER("A")</f>
        <v>A</v>
      </c>
      <c r="T27" s="3"/>
      <c r="U27" s="2" t="str">
        <f>UPPER("A")</f>
        <v>A</v>
      </c>
      <c r="V27" s="3"/>
      <c r="W27" s="3"/>
      <c r="X27" s="3"/>
      <c r="Y27" s="3"/>
      <c r="Z27" s="3"/>
      <c r="AA27" s="4">
        <f>DATE(2013,7,3)</f>
        <v>41458</v>
      </c>
      <c r="AB27" s="2" t="str">
        <f>UPPER("CASTELFRANCO V.TO - TV - VIA PICCININI 7")</f>
        <v>CASTELFRANCO V.TO - TV - VIA PICCININI 7</v>
      </c>
      <c r="AC27" s="2" t="str">
        <f>UPPER("1995")</f>
        <v>1995</v>
      </c>
      <c r="AD27" s="2" t="str">
        <f t="shared" si="27"/>
        <v xml:space="preserve"> 0</v>
      </c>
      <c r="AE27" s="3"/>
      <c r="AF27" s="3"/>
      <c r="AG27" s="5">
        <v>2308</v>
      </c>
      <c r="AH27" s="3"/>
      <c r="AI27" s="3"/>
      <c r="AJ27" s="3"/>
      <c r="AK27" s="3"/>
      <c r="AL27" s="3"/>
      <c r="AM27" s="3"/>
      <c r="AN27" s="6">
        <v>840</v>
      </c>
      <c r="AO27" s="6">
        <v>632</v>
      </c>
      <c r="AP27" s="6">
        <v>0</v>
      </c>
      <c r="AQ27" s="2" t="str">
        <f>UPPER("Agenzia ")</f>
        <v xml:space="preserve">AGENZIA </v>
      </c>
    </row>
    <row r="28" spans="1:43" ht="33" x14ac:dyDescent="0.25">
      <c r="A28" s="7" t="str">
        <f>UPPER("06TV67")</f>
        <v>06TV67</v>
      </c>
      <c r="B28" s="7" t="str">
        <f t="shared" si="22"/>
        <v>06</v>
      </c>
      <c r="C28" s="7" t="str">
        <f t="shared" si="23"/>
        <v xml:space="preserve">0000 </v>
      </c>
      <c r="D28" s="8"/>
      <c r="E28" s="7" t="s">
        <v>47</v>
      </c>
      <c r="F28" s="7" t="str">
        <f>UPPER("VIA PITTONI 36")</f>
        <v>VIA PITTONI 36</v>
      </c>
      <c r="G28" s="8"/>
      <c r="H28" s="7" t="str">
        <f t="shared" si="20"/>
        <v>TV</v>
      </c>
      <c r="I28" s="7" t="str">
        <f t="shared" si="24"/>
        <v>S</v>
      </c>
      <c r="J28" s="7" t="str">
        <f t="shared" si="25"/>
        <v>A</v>
      </c>
      <c r="K28" s="8"/>
      <c r="L28" s="8"/>
      <c r="M28" s="8"/>
      <c r="N28" s="7" t="str">
        <f t="shared" si="19"/>
        <v>FU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7" t="str">
        <f>UPPER("CONEGLIANO 2 - TV - VIA PITTONI 36")</f>
        <v>CONEGLIANO 2 - TV - VIA PITTONI 36</v>
      </c>
      <c r="AC28" s="7" t="str">
        <f>UPPER(" 0")</f>
        <v xml:space="preserve"> 0</v>
      </c>
      <c r="AD28" s="7" t="str">
        <f t="shared" si="27"/>
        <v xml:space="preserve"> 0</v>
      </c>
      <c r="AE28" s="8"/>
      <c r="AF28" s="8"/>
      <c r="AG28" s="11">
        <v>0</v>
      </c>
      <c r="AH28" s="8"/>
      <c r="AI28" s="8"/>
      <c r="AJ28" s="8"/>
      <c r="AK28" s="8"/>
      <c r="AL28" s="8"/>
      <c r="AM28" s="8"/>
      <c r="AN28" s="11">
        <v>0</v>
      </c>
      <c r="AO28" s="11">
        <v>0</v>
      </c>
      <c r="AP28" s="11">
        <v>0</v>
      </c>
      <c r="AQ28" s="7" t="str">
        <f>UPPER("Agenzia ")</f>
        <v xml:space="preserve">AGENZIA </v>
      </c>
    </row>
    <row r="29" spans="1:43" ht="43.5" x14ac:dyDescent="0.25">
      <c r="A29" s="7"/>
      <c r="B29" s="7"/>
      <c r="C29" s="7"/>
      <c r="D29" s="8"/>
      <c r="E29" s="7" t="s">
        <v>54</v>
      </c>
      <c r="F29" s="7" t="s">
        <v>55</v>
      </c>
      <c r="G29" s="8"/>
      <c r="H29" s="7" t="s">
        <v>56</v>
      </c>
      <c r="I29" s="7"/>
      <c r="J29" s="7"/>
      <c r="K29" s="8"/>
      <c r="L29" s="8"/>
      <c r="M29" s="8"/>
      <c r="N29" s="7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7"/>
      <c r="AC29" s="7"/>
      <c r="AD29" s="7"/>
      <c r="AE29" s="8"/>
      <c r="AF29" s="8"/>
      <c r="AG29" s="11"/>
      <c r="AH29" s="8"/>
      <c r="AI29" s="8"/>
      <c r="AJ29" s="8"/>
      <c r="AK29" s="8"/>
      <c r="AL29" s="8"/>
      <c r="AM29" s="8"/>
      <c r="AN29" s="11"/>
      <c r="AO29" s="11"/>
      <c r="AP29" s="11"/>
      <c r="AQ29" s="7" t="s">
        <v>73</v>
      </c>
    </row>
    <row r="30" spans="1:43" x14ac:dyDescent="0.25">
      <c r="A30" s="25" t="s">
        <v>68</v>
      </c>
      <c r="B30" s="26"/>
      <c r="C30" s="26"/>
      <c r="D30" s="26"/>
      <c r="E30" s="27"/>
      <c r="F30" s="20"/>
      <c r="G30" s="21"/>
      <c r="H30" s="20"/>
      <c r="I30" s="20"/>
      <c r="J30" s="20"/>
      <c r="K30" s="21"/>
      <c r="L30" s="21"/>
      <c r="M30" s="21"/>
      <c r="N30" s="20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0"/>
      <c r="AC30" s="20"/>
      <c r="AD30" s="20"/>
      <c r="AE30" s="21"/>
      <c r="AF30" s="21"/>
      <c r="AG30" s="23"/>
      <c r="AH30" s="21"/>
      <c r="AI30" s="21"/>
      <c r="AJ30" s="21"/>
      <c r="AK30" s="21"/>
      <c r="AL30" s="21"/>
      <c r="AM30" s="21"/>
      <c r="AN30" s="23"/>
      <c r="AO30" s="23"/>
      <c r="AP30" s="23"/>
      <c r="AQ30" s="20"/>
    </row>
    <row r="31" spans="1:43" ht="85.5" x14ac:dyDescent="0.25">
      <c r="A31" s="2" t="str">
        <f>UPPER("06VE00")</f>
        <v>06VE00</v>
      </c>
      <c r="B31" s="2" t="str">
        <f>UPPER("06")</f>
        <v>06</v>
      </c>
      <c r="C31" s="2" t="str">
        <f>UPPER("0000 ")</f>
        <v xml:space="preserve">0000 </v>
      </c>
      <c r="D31" s="2" t="str">
        <f>UPPER("02/05")</f>
        <v>02/05</v>
      </c>
      <c r="E31" s="2" t="str">
        <f>UPPER("VENEZIA ")</f>
        <v xml:space="preserve">VENEZIA </v>
      </c>
      <c r="F31" s="2" t="s">
        <v>60</v>
      </c>
      <c r="G31" s="2" t="str">
        <f>UPPER("30123")</f>
        <v>30123</v>
      </c>
      <c r="H31" s="2" t="str">
        <f t="shared" ref="H31:H39" si="28">UPPER("VE")</f>
        <v>VE</v>
      </c>
      <c r="I31" s="2" t="str">
        <f t="shared" ref="I31:I32" si="29">UPPER("S")</f>
        <v>S</v>
      </c>
      <c r="J31" s="2" t="str">
        <f>UPPER("P")</f>
        <v>P</v>
      </c>
      <c r="K31" s="3"/>
      <c r="L31" s="3"/>
      <c r="M31" s="2" t="str">
        <f>UPPER("1")</f>
        <v>1</v>
      </c>
      <c r="N31" s="2" t="str">
        <f>UPPER("CI")</f>
        <v>CI</v>
      </c>
      <c r="O31" s="3"/>
      <c r="P31" s="3"/>
      <c r="Q31" s="3"/>
      <c r="R31" s="3"/>
      <c r="S31" s="2" t="str">
        <f>UPPER("S")</f>
        <v>S</v>
      </c>
      <c r="T31" s="2" t="str">
        <f>UPPER("C")</f>
        <v>C</v>
      </c>
      <c r="U31" s="2" t="str">
        <f>UPPER("S")</f>
        <v>S</v>
      </c>
      <c r="V31" s="2" t="str">
        <f>UPPER("F")</f>
        <v>F</v>
      </c>
      <c r="W31" s="3"/>
      <c r="X31" s="2" t="str">
        <f>UPPER("FABB. COSTR. DALL`ISTITUTO.COMPR. PER IL TERRENO NOT. CANDIANI-REP. 45311 DEL 29/10/54.REG.N. 2196. ")</f>
        <v xml:space="preserve">FABB. COSTR. DALL`ISTITUTO.COMPR. PER IL TERRENO NOT. CANDIANI-REP. 45311 DEL 29/10/54.REG.N. 2196. </v>
      </c>
      <c r="Y31" s="3"/>
      <c r="Z31" s="3"/>
      <c r="AA31" s="4">
        <f>DATE(2001,1,9)</f>
        <v>36900</v>
      </c>
      <c r="AB31" s="2" t="str">
        <f>UPPER("VENEZIA - VE - DORSODURO 3519-3520")</f>
        <v>VENEZIA - VE - DORSODURO 3519-3520</v>
      </c>
      <c r="AC31" s="2" t="str">
        <f>UPPER("1960")</f>
        <v>1960</v>
      </c>
      <c r="AD31" s="2" t="str">
        <f>UPPER(" 0")</f>
        <v xml:space="preserve"> 0</v>
      </c>
      <c r="AE31" s="5">
        <v>27231</v>
      </c>
      <c r="AF31" s="6">
        <v>0</v>
      </c>
      <c r="AG31" s="5">
        <v>27231</v>
      </c>
      <c r="AH31" s="3"/>
      <c r="AI31" s="5">
        <v>26215</v>
      </c>
      <c r="AJ31" s="5">
        <v>5959</v>
      </c>
      <c r="AK31" s="6">
        <v>0</v>
      </c>
      <c r="AL31" s="5">
        <v>6478</v>
      </c>
      <c r="AM31" s="6">
        <v>0</v>
      </c>
      <c r="AN31" s="5">
        <v>6478</v>
      </c>
      <c r="AO31" s="5">
        <v>5959</v>
      </c>
      <c r="AP31" s="5">
        <v>5339</v>
      </c>
      <c r="AQ31" s="2" t="str">
        <f>UPPER("Direzione Provinciale")</f>
        <v>DIREZIONE PROVINCIALE</v>
      </c>
    </row>
    <row r="32" spans="1:43" ht="54" x14ac:dyDescent="0.25">
      <c r="A32" s="2" t="str">
        <f>UPPER("06VE06")</f>
        <v>06VE06</v>
      </c>
      <c r="B32" s="2" t="str">
        <f>UPPER("99")</f>
        <v>99</v>
      </c>
      <c r="C32" s="3"/>
      <c r="D32" s="3"/>
      <c r="E32" s="2" t="str">
        <f>UPPER("VENEZIA")</f>
        <v>VENEZIA</v>
      </c>
      <c r="F32" s="2" t="str">
        <f>UPPER("S. CROCE 929 - CAMPO S.SIMEONE GRANDE")</f>
        <v>S. CROCE 929 - CAMPO S.SIMEONE GRANDE</v>
      </c>
      <c r="G32" s="2" t="str">
        <f>UPPER("30135")</f>
        <v>30135</v>
      </c>
      <c r="H32" s="2" t="str">
        <f t="shared" si="28"/>
        <v>VE</v>
      </c>
      <c r="I32" s="2" t="str">
        <f t="shared" si="29"/>
        <v>S</v>
      </c>
      <c r="J32" s="2" t="str">
        <f t="shared" ref="J32" si="30">UPPER("P")</f>
        <v>P</v>
      </c>
      <c r="K32" s="3"/>
      <c r="L32" s="3"/>
      <c r="M32" s="3"/>
      <c r="N32" s="2" t="str">
        <f t="shared" ref="N32" si="31">UPPER("FU")</f>
        <v>FU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">
        <f>DATE(2012,8,10)</f>
        <v>41131</v>
      </c>
      <c r="AB32" s="2" t="str">
        <f>UPPER("VENEZIA - VE - S. CROCE 929 - CAMPO S.SIMEONE GRANDE")</f>
        <v>VENEZIA - VE - S. CROCE 929 - CAMPO S.SIMEONE GRANDE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2" t="str">
        <f>UPPER("Direzione Regionale")</f>
        <v>DIREZIONE REGIONALE</v>
      </c>
    </row>
    <row r="33" spans="1:43" ht="85.5" x14ac:dyDescent="0.25">
      <c r="A33" s="2" t="str">
        <f>UPPER("06VE31")</f>
        <v>06VE31</v>
      </c>
      <c r="B33" s="2" t="str">
        <f t="shared" ref="B33:B39" si="32">UPPER("06")</f>
        <v>06</v>
      </c>
      <c r="C33" s="2" t="str">
        <f t="shared" ref="C33:C37" si="33">UPPER("0000 ")</f>
        <v xml:space="preserve">0000 </v>
      </c>
      <c r="D33" s="2" t="str">
        <f>UPPER("10/37")</f>
        <v>10/37</v>
      </c>
      <c r="E33" s="2" t="str">
        <f>UPPER("SAN DONA` ")</f>
        <v xml:space="preserve">SAN DONA` </v>
      </c>
      <c r="F33" s="2" t="str">
        <f>UPPER("VIA TRENTO 19")</f>
        <v>VIA TRENTO 19</v>
      </c>
      <c r="G33" s="2" t="str">
        <f>UPPER("30027")</f>
        <v>30027</v>
      </c>
      <c r="H33" s="2" t="str">
        <f t="shared" si="28"/>
        <v>VE</v>
      </c>
      <c r="I33" s="2" t="str">
        <f t="shared" ref="I33:I39" si="34">UPPER("S")</f>
        <v>S</v>
      </c>
      <c r="J33" s="2" t="str">
        <f>UPPER("P")</f>
        <v>P</v>
      </c>
      <c r="K33" s="3"/>
      <c r="L33" s="3"/>
      <c r="M33" s="2" t="str">
        <f>UPPER("2")</f>
        <v>2</v>
      </c>
      <c r="N33" s="2" t="str">
        <f t="shared" ref="N33:N38" si="35">UPPER("FU")</f>
        <v>FU</v>
      </c>
      <c r="O33" s="3"/>
      <c r="P33" s="3"/>
      <c r="Q33" s="3"/>
      <c r="R33" s="3"/>
      <c r="S33" s="2" t="str">
        <f>UPPER("S")</f>
        <v>S</v>
      </c>
      <c r="T33" s="2" t="str">
        <f>UPPER("C")</f>
        <v>C</v>
      </c>
      <c r="U33" s="2" t="str">
        <f>UPPER("S")</f>
        <v>S</v>
      </c>
      <c r="V33" s="2" t="str">
        <f>UPPER("F")</f>
        <v>F</v>
      </c>
      <c r="W33" s="4">
        <f>DATE(1962,12,6)</f>
        <v>22986</v>
      </c>
      <c r="X33" s="2" t="str">
        <f>UPPER("ROGITO NOTARILE DOTT. LEO BRUSATIN N.933 DEL 6/12/1962. REG.TO IL 14/1/63 N. 208 VOL.66 MOD.I ")</f>
        <v xml:space="preserve">ROGITO NOTARILE DOTT. LEO BRUSATIN N.933 DEL 6/12/1962. REG.TO IL 14/1/63 N. 208 VOL.66 MOD.I </v>
      </c>
      <c r="Y33" s="3"/>
      <c r="Z33" s="3"/>
      <c r="AA33" s="4">
        <f>DATE(2007,11,26)</f>
        <v>39412</v>
      </c>
      <c r="AB33" s="2" t="str">
        <f>UPPER("SAN DONA` - VE - VIA TRENTO 19")</f>
        <v>SAN DONA` - VE - VIA TRENTO 19</v>
      </c>
      <c r="AC33" s="2" t="str">
        <f>UPPER("1991")</f>
        <v>1991</v>
      </c>
      <c r="AD33" s="2" t="str">
        <f>UPPER(" 0")</f>
        <v xml:space="preserve"> 0</v>
      </c>
      <c r="AE33" s="5">
        <v>24155</v>
      </c>
      <c r="AF33" s="5">
        <v>1901</v>
      </c>
      <c r="AG33" s="5">
        <v>26056</v>
      </c>
      <c r="AH33" s="3"/>
      <c r="AI33" s="5">
        <v>22086</v>
      </c>
      <c r="AJ33" s="5">
        <v>7314</v>
      </c>
      <c r="AK33" s="5">
        <v>1212</v>
      </c>
      <c r="AL33" s="5">
        <v>7958</v>
      </c>
      <c r="AM33" s="6">
        <v>0</v>
      </c>
      <c r="AN33" s="5">
        <v>5585</v>
      </c>
      <c r="AO33" s="5">
        <v>5026</v>
      </c>
      <c r="AP33" s="5">
        <v>3448</v>
      </c>
      <c r="AQ33" s="2" t="s">
        <v>44</v>
      </c>
    </row>
    <row r="34" spans="1:43" ht="33" x14ac:dyDescent="0.25">
      <c r="A34" s="7" t="str">
        <f>UPPER("06VE61")</f>
        <v>06VE61</v>
      </c>
      <c r="B34" s="7" t="str">
        <f t="shared" si="32"/>
        <v>06</v>
      </c>
      <c r="C34" s="7" t="str">
        <f t="shared" si="33"/>
        <v xml:space="preserve">0000 </v>
      </c>
      <c r="D34" s="8"/>
      <c r="E34" s="7" t="str">
        <f>UPPER("CHIOGGIA ")</f>
        <v xml:space="preserve">CHIOGGIA </v>
      </c>
      <c r="F34" s="7" t="str">
        <f>UPPER("VIALE STAZIONE 53")</f>
        <v>VIALE STAZIONE 53</v>
      </c>
      <c r="G34" s="7" t="str">
        <f>UPPER("30015")</f>
        <v>30015</v>
      </c>
      <c r="H34" s="7" t="str">
        <f t="shared" si="28"/>
        <v>VE</v>
      </c>
      <c r="I34" s="7" t="str">
        <f t="shared" si="34"/>
        <v>S</v>
      </c>
      <c r="J34" s="7" t="str">
        <f t="shared" ref="J34:J38" si="36">UPPER("A")</f>
        <v>A</v>
      </c>
      <c r="K34" s="8"/>
      <c r="L34" s="8"/>
      <c r="M34" s="8"/>
      <c r="N34" s="7" t="str">
        <f t="shared" si="35"/>
        <v>FU</v>
      </c>
      <c r="O34" s="8"/>
      <c r="P34" s="8"/>
      <c r="Q34" s="8"/>
      <c r="R34" s="8"/>
      <c r="S34" s="7" t="str">
        <f>UPPER("C")</f>
        <v>C</v>
      </c>
      <c r="T34" s="8"/>
      <c r="U34" s="7" t="str">
        <f>UPPER("C")</f>
        <v>C</v>
      </c>
      <c r="V34" s="8"/>
      <c r="W34" s="8"/>
      <c r="X34" s="8"/>
      <c r="Y34" s="8"/>
      <c r="Z34" s="8"/>
      <c r="AA34" s="9">
        <f>DATE(2007,11,27)</f>
        <v>39413</v>
      </c>
      <c r="AB34" s="7" t="str">
        <f>UPPER("CHIOGGIA - VE - VIALE STAZIONE 53")</f>
        <v>CHIOGGIA - VE - VIALE STAZIONE 53</v>
      </c>
      <c r="AC34" s="7" t="str">
        <f>UPPER("1955")</f>
        <v>1955</v>
      </c>
      <c r="AD34" s="7" t="str">
        <f>UPPER("1993")</f>
        <v>1993</v>
      </c>
      <c r="AE34" s="8"/>
      <c r="AF34" s="8"/>
      <c r="AG34" s="10">
        <v>2287</v>
      </c>
      <c r="AH34" s="8"/>
      <c r="AI34" s="8"/>
      <c r="AJ34" s="8"/>
      <c r="AK34" s="8"/>
      <c r="AL34" s="8"/>
      <c r="AM34" s="8"/>
      <c r="AN34" s="11">
        <v>579</v>
      </c>
      <c r="AO34" s="11">
        <v>505</v>
      </c>
      <c r="AP34" s="11">
        <v>424</v>
      </c>
      <c r="AQ34" s="7" t="str">
        <f>UPPER("Agenzia ")</f>
        <v xml:space="preserve">AGENZIA </v>
      </c>
    </row>
    <row r="35" spans="1:43" ht="33" x14ac:dyDescent="0.25">
      <c r="A35" s="2" t="str">
        <f>UPPER("06VE63")</f>
        <v>06VE63</v>
      </c>
      <c r="B35" s="2" t="str">
        <f t="shared" si="32"/>
        <v>06</v>
      </c>
      <c r="C35" s="2" t="str">
        <f t="shared" si="33"/>
        <v xml:space="preserve">0000 </v>
      </c>
      <c r="D35" s="3"/>
      <c r="E35" s="2" t="str">
        <f>UPPER("MIRANO ")</f>
        <v xml:space="preserve">MIRANO </v>
      </c>
      <c r="F35" s="2" t="s">
        <v>74</v>
      </c>
      <c r="G35" s="2" t="str">
        <f>UPPER("30020")</f>
        <v>30020</v>
      </c>
      <c r="H35" s="2" t="str">
        <f t="shared" si="28"/>
        <v>VE</v>
      </c>
      <c r="I35" s="2" t="str">
        <f t="shared" si="34"/>
        <v>S</v>
      </c>
      <c r="J35" s="2" t="str">
        <f t="shared" si="36"/>
        <v>A</v>
      </c>
      <c r="K35" s="3"/>
      <c r="L35" s="3"/>
      <c r="M35" s="3"/>
      <c r="N35" s="2" t="str">
        <f t="shared" si="35"/>
        <v>FU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4">
        <f>DATE(2007,11,26)</f>
        <v>39412</v>
      </c>
      <c r="AB35" s="2" t="str">
        <f>UPPER("MIRANO - VE - VIA MATTEOTTI 80")</f>
        <v>MIRANO - VE - VIA MATTEOTTI 80</v>
      </c>
      <c r="AC35" s="2" t="str">
        <f t="shared" ref="AC35:AD37" si="37">UPPER(" 0")</f>
        <v xml:space="preserve"> 0</v>
      </c>
      <c r="AD35" s="2" t="str">
        <f t="shared" si="37"/>
        <v xml:space="preserve"> 0</v>
      </c>
      <c r="AE35" s="3"/>
      <c r="AF35" s="3"/>
      <c r="AG35" s="6">
        <v>0</v>
      </c>
      <c r="AH35" s="3"/>
      <c r="AI35" s="3"/>
      <c r="AJ35" s="3"/>
      <c r="AK35" s="3"/>
      <c r="AL35" s="3"/>
      <c r="AM35" s="3"/>
      <c r="AN35" s="6">
        <v>0</v>
      </c>
      <c r="AO35" s="6">
        <v>0</v>
      </c>
      <c r="AP35" s="6">
        <v>0</v>
      </c>
      <c r="AQ35" s="2" t="s">
        <v>75</v>
      </c>
    </row>
    <row r="36" spans="1:43" ht="33" x14ac:dyDescent="0.25">
      <c r="A36" s="2" t="str">
        <f>UPPER("06VE64")</f>
        <v>06VE64</v>
      </c>
      <c r="B36" s="2" t="str">
        <f t="shared" si="32"/>
        <v>06</v>
      </c>
      <c r="C36" s="2" t="str">
        <f t="shared" si="33"/>
        <v xml:space="preserve">0000 </v>
      </c>
      <c r="D36" s="3"/>
      <c r="E36" s="2" t="str">
        <f>UPPER("DOLO")</f>
        <v>DOLO</v>
      </c>
      <c r="F36" s="2" t="str">
        <f>UPPER("PIAZZA MUNICIPIO 13")</f>
        <v>PIAZZA MUNICIPIO 13</v>
      </c>
      <c r="G36" s="2" t="str">
        <f>UPPER("30020")</f>
        <v>30020</v>
      </c>
      <c r="H36" s="2" t="str">
        <f t="shared" si="28"/>
        <v>VE</v>
      </c>
      <c r="I36" s="2" t="str">
        <f t="shared" si="34"/>
        <v>S</v>
      </c>
      <c r="J36" s="2" t="str">
        <f t="shared" si="36"/>
        <v>A</v>
      </c>
      <c r="K36" s="3"/>
      <c r="L36" s="3"/>
      <c r="M36" s="3"/>
      <c r="N36" s="2" t="str">
        <f t="shared" si="35"/>
        <v>FU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4">
        <f>DATE(2013,7,8)</f>
        <v>41463</v>
      </c>
      <c r="AB36" s="2" t="str">
        <f>UPPER("DOLO - VE - PIAZZA MUNICIPIO 13")</f>
        <v>DOLO - VE - PIAZZA MUNICIPIO 13</v>
      </c>
      <c r="AC36" s="2" t="str">
        <f t="shared" si="37"/>
        <v xml:space="preserve"> 0</v>
      </c>
      <c r="AD36" s="2" t="str">
        <f t="shared" si="37"/>
        <v xml:space="preserve"> 0</v>
      </c>
      <c r="AE36" s="3"/>
      <c r="AF36" s="3"/>
      <c r="AG36" s="6">
        <v>0</v>
      </c>
      <c r="AH36" s="3"/>
      <c r="AI36" s="3"/>
      <c r="AJ36" s="3"/>
      <c r="AK36" s="3"/>
      <c r="AL36" s="3"/>
      <c r="AM36" s="3"/>
      <c r="AN36" s="6">
        <v>0</v>
      </c>
      <c r="AO36" s="6">
        <v>0</v>
      </c>
      <c r="AP36" s="6">
        <v>0</v>
      </c>
      <c r="AQ36" s="2" t="str">
        <f>UPPER("Agenzia ")</f>
        <v xml:space="preserve">AGENZIA </v>
      </c>
    </row>
    <row r="37" spans="1:43" ht="29.25" customHeight="1" x14ac:dyDescent="0.25">
      <c r="A37" s="2" t="str">
        <f>UPPER("06VE66")</f>
        <v>06VE66</v>
      </c>
      <c r="B37" s="2" t="str">
        <f t="shared" si="32"/>
        <v>06</v>
      </c>
      <c r="C37" s="2" t="str">
        <f t="shared" si="33"/>
        <v xml:space="preserve">0000 </v>
      </c>
      <c r="D37" s="3"/>
      <c r="E37" s="2" t="s">
        <v>61</v>
      </c>
      <c r="F37" s="2" t="str">
        <f>UPPER("VIA FOGAZZARO 13 A")</f>
        <v>VIA FOGAZZARO 13 A</v>
      </c>
      <c r="G37" s="2" t="str">
        <f>UPPER("30174")</f>
        <v>30174</v>
      </c>
      <c r="H37" s="2" t="str">
        <f t="shared" si="28"/>
        <v>VE</v>
      </c>
      <c r="I37" s="2" t="str">
        <f t="shared" si="34"/>
        <v>S</v>
      </c>
      <c r="J37" s="2" t="str">
        <f t="shared" si="36"/>
        <v>A</v>
      </c>
      <c r="K37" s="3"/>
      <c r="L37" s="3"/>
      <c r="M37" s="3"/>
      <c r="N37" s="2" t="str">
        <f t="shared" si="35"/>
        <v>FU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4">
        <f>DATE(2013,7,5)</f>
        <v>41460</v>
      </c>
      <c r="AB37" s="2" t="str">
        <f>UPPER("VENEZIA - VE - VIA FOGAZZARO 13 A")</f>
        <v>VENEZIA - VE - VIA FOGAZZARO 13 A</v>
      </c>
      <c r="AC37" s="2" t="str">
        <f t="shared" si="37"/>
        <v xml:space="preserve"> 0</v>
      </c>
      <c r="AD37" s="2" t="str">
        <f t="shared" si="37"/>
        <v xml:space="preserve"> 0</v>
      </c>
      <c r="AE37" s="3"/>
      <c r="AF37" s="3"/>
      <c r="AG37" s="6">
        <v>0</v>
      </c>
      <c r="AH37" s="3"/>
      <c r="AI37" s="3"/>
      <c r="AJ37" s="3"/>
      <c r="AK37" s="3"/>
      <c r="AL37" s="3"/>
      <c r="AM37" s="3"/>
      <c r="AN37" s="6">
        <v>0</v>
      </c>
      <c r="AO37" s="6">
        <v>0</v>
      </c>
      <c r="AP37" s="6">
        <v>0</v>
      </c>
      <c r="AQ37" s="2" t="str">
        <f>UPPER("Agenzia ")</f>
        <v xml:space="preserve">AGENZIA </v>
      </c>
    </row>
    <row r="38" spans="1:43" ht="33" x14ac:dyDescent="0.25">
      <c r="A38" s="2" t="str">
        <f>UPPER("06VE67")</f>
        <v>06VE67</v>
      </c>
      <c r="B38" s="2" t="str">
        <f t="shared" si="32"/>
        <v>06</v>
      </c>
      <c r="C38" s="3"/>
      <c r="D38" s="3"/>
      <c r="E38" s="2" t="str">
        <f>UPPER("PORTOGRUARO  ")</f>
        <v xml:space="preserve">PORTOGRUARO  </v>
      </c>
      <c r="F38" s="2" t="str">
        <f>UPPER("VIA VERSIOLA 2/B")</f>
        <v>VIA VERSIOLA 2/B</v>
      </c>
      <c r="G38" s="2" t="str">
        <f>UPPER("30026")</f>
        <v>30026</v>
      </c>
      <c r="H38" s="2" t="str">
        <f t="shared" si="28"/>
        <v>VE</v>
      </c>
      <c r="I38" s="2" t="str">
        <f t="shared" si="34"/>
        <v>S</v>
      </c>
      <c r="J38" s="2" t="str">
        <f t="shared" si="36"/>
        <v>A</v>
      </c>
      <c r="K38" s="3"/>
      <c r="L38" s="3"/>
      <c r="M38" s="3"/>
      <c r="N38" s="2" t="str">
        <f t="shared" si="35"/>
        <v>FU</v>
      </c>
      <c r="O38" s="3"/>
      <c r="P38" s="3"/>
      <c r="Q38" s="3"/>
      <c r="R38" s="3"/>
      <c r="S38" s="2" t="str">
        <f>UPPER("C")</f>
        <v>C</v>
      </c>
      <c r="T38" s="3"/>
      <c r="U38" s="2" t="str">
        <f>UPPER("C")</f>
        <v>C</v>
      </c>
      <c r="V38" s="3"/>
      <c r="W38" s="3"/>
      <c r="X38" s="3"/>
      <c r="Y38" s="3"/>
      <c r="Z38" s="3"/>
      <c r="AA38" s="4">
        <f>DATE(2007,11,26)</f>
        <v>39412</v>
      </c>
      <c r="AB38" s="2" t="str">
        <f>UPPER("PORTOGRUARO 2 - VE - VIA VERSIOLA 2/B")</f>
        <v>PORTOGRUARO 2 - VE - VIA VERSIOLA 2/B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" t="str">
        <f>UPPER("Agenzia ")</f>
        <v xml:space="preserve">AGENZIA </v>
      </c>
    </row>
    <row r="39" spans="1:43" ht="96" x14ac:dyDescent="0.25">
      <c r="A39" s="2" t="str">
        <f>UPPER("06VE80")</f>
        <v>06VE80</v>
      </c>
      <c r="B39" s="2" t="str">
        <f t="shared" si="32"/>
        <v>06</v>
      </c>
      <c r="C39" s="2" t="str">
        <f>UPPER("0000 ")</f>
        <v xml:space="preserve">0000 </v>
      </c>
      <c r="D39" s="2" t="str">
        <f>UPPER("01/01")</f>
        <v>01/01</v>
      </c>
      <c r="E39" s="2" t="str">
        <f>UPPER("VENEZIA ")</f>
        <v xml:space="preserve">VENEZIA </v>
      </c>
      <c r="F39" s="2" t="str">
        <f>UPPER("DORSODURO 3500/A-N3518/A-3519/A-G")</f>
        <v>DORSODURO 3500/A-N3518/A-3519/A-G</v>
      </c>
      <c r="G39" s="2" t="str">
        <f>UPPER("30123")</f>
        <v>30123</v>
      </c>
      <c r="H39" s="2" t="str">
        <f t="shared" si="28"/>
        <v>VE</v>
      </c>
      <c r="I39" s="2" t="str">
        <f t="shared" si="34"/>
        <v>S</v>
      </c>
      <c r="J39" s="2" t="str">
        <f>UPPER("P")</f>
        <v>P</v>
      </c>
      <c r="K39" s="3"/>
      <c r="L39" s="3"/>
      <c r="M39" s="2" t="str">
        <f>UPPER("1")</f>
        <v>1</v>
      </c>
      <c r="N39" s="2" t="str">
        <f>UPPER("CI")</f>
        <v>CI</v>
      </c>
      <c r="O39" s="3"/>
      <c r="P39" s="3"/>
      <c r="Q39" s="3"/>
      <c r="R39" s="3"/>
      <c r="S39" s="2" t="str">
        <f>UPPER("S")</f>
        <v>S</v>
      </c>
      <c r="T39" s="2" t="str">
        <f>UPPER("C")</f>
        <v>C</v>
      </c>
      <c r="U39" s="2" t="str">
        <f>UPPER("S")</f>
        <v>S</v>
      </c>
      <c r="V39" s="2" t="str">
        <f>UPPER("F")</f>
        <v>F</v>
      </c>
      <c r="W39" s="3"/>
      <c r="X39" s="2" t="str">
        <f>UPPER("FABBR.COSTR.DALL`IST. COMPR.REP.4531 DEL 29/10/54.COMP.REP.7398 DEL 5/12/59CESS.AREA PROPR.FOGACCIA ")</f>
        <v xml:space="preserve">FABBR.COSTR.DALL`IST. COMPR.REP.4531 DEL 29/10/54.COMP.REP.7398 DEL 5/12/59CESS.AREA PROPR.FOGACCIA </v>
      </c>
      <c r="Y39" s="3"/>
      <c r="Z39" s="3"/>
      <c r="AA39" s="4">
        <f>DATE(2001,1,9)</f>
        <v>36900</v>
      </c>
      <c r="AB39" s="2" t="str">
        <f>UPPER("VENEZIA - VE - DORSODURO 3500/A-N3518/A-3519/A-G")</f>
        <v>VENEZIA - VE - DORSODURO 3500/A-N3518/A-3519/A-G</v>
      </c>
      <c r="AC39" s="2" t="str">
        <f>UPPER("1960")</f>
        <v>1960</v>
      </c>
      <c r="AD39" s="2" t="str">
        <f>UPPER(" 0")</f>
        <v xml:space="preserve"> 0</v>
      </c>
      <c r="AE39" s="5">
        <v>13334</v>
      </c>
      <c r="AF39" s="6">
        <v>0</v>
      </c>
      <c r="AG39" s="5">
        <v>13334</v>
      </c>
      <c r="AH39" s="3"/>
      <c r="AI39" s="5">
        <v>13131</v>
      </c>
      <c r="AJ39" s="5">
        <v>3521</v>
      </c>
      <c r="AK39" s="6">
        <v>0</v>
      </c>
      <c r="AL39" s="5">
        <v>4061</v>
      </c>
      <c r="AM39" s="6">
        <v>0</v>
      </c>
      <c r="AN39" s="5">
        <v>4061</v>
      </c>
      <c r="AO39" s="5">
        <v>3521</v>
      </c>
      <c r="AP39" s="5">
        <v>2904</v>
      </c>
      <c r="AQ39" s="2" t="str">
        <f>UPPER("Direzione Regionale")</f>
        <v>DIREZIONE REGIONALE</v>
      </c>
    </row>
    <row r="40" spans="1:43" ht="64.5" x14ac:dyDescent="0.25">
      <c r="A40" s="2" t="str">
        <f>UPPER("06VE98")</f>
        <v>06VE98</v>
      </c>
      <c r="B40" s="2" t="str">
        <f t="shared" ref="B40" si="38">UPPER("95")</f>
        <v>95</v>
      </c>
      <c r="C40" s="3"/>
      <c r="D40" s="3"/>
      <c r="E40" s="2" t="s">
        <v>61</v>
      </c>
      <c r="F40" s="2" t="str">
        <f>UPPER("VIA DANTE 95/VIA SERNAGLIA 12 ")</f>
        <v xml:space="preserve">VIA DANTE 95/VIA SERNAGLIA 12 </v>
      </c>
      <c r="G40" s="2" t="str">
        <f t="shared" ref="G40" si="39">UPPER("30100")</f>
        <v>30100</v>
      </c>
      <c r="H40" s="2" t="str">
        <f t="shared" ref="H40" si="40">UPPER("VE")</f>
        <v>VE</v>
      </c>
      <c r="I40" s="2" t="str">
        <f>UPPER("M")</f>
        <v>M</v>
      </c>
      <c r="J40" s="3"/>
      <c r="K40" s="3"/>
      <c r="L40" s="3"/>
      <c r="M40" s="3"/>
      <c r="N40" s="2" t="str">
        <f t="shared" ref="N40:N44" si="41">UPPER("FU")</f>
        <v>FU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4">
        <f t="shared" ref="AA40" si="42">DATE(2013,2,14)</f>
        <v>41319</v>
      </c>
      <c r="AB40" s="2" t="str">
        <f>UPPER("MESTRE - VE - VIA DANTE 95/VIA SERNAGLIA 12 - (MATRICOLA 7099/01)")</f>
        <v>MESTRE - VE - VIA DANTE 95/VIA SERNAGLIA 12 - (MATRICOLA 7099/01)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" t="s">
        <v>44</v>
      </c>
    </row>
    <row r="41" spans="1:43" x14ac:dyDescent="0.25">
      <c r="A41" s="25" t="s">
        <v>69</v>
      </c>
      <c r="B41" s="26"/>
      <c r="C41" s="26"/>
      <c r="D41" s="26"/>
      <c r="E41" s="27"/>
      <c r="F41" s="17"/>
      <c r="G41" s="17"/>
      <c r="H41" s="17"/>
      <c r="I41" s="17"/>
      <c r="J41" s="18"/>
      <c r="K41" s="18"/>
      <c r="L41" s="18"/>
      <c r="M41" s="18"/>
      <c r="N41" s="17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  <c r="AB41" s="17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7"/>
    </row>
    <row r="42" spans="1:43" ht="85.5" x14ac:dyDescent="0.25">
      <c r="A42" s="2" t="str">
        <f>UPPER("06VI00")</f>
        <v>06VI00</v>
      </c>
      <c r="B42" s="2" t="str">
        <f>UPPER("06")</f>
        <v>06</v>
      </c>
      <c r="C42" s="2" t="str">
        <f>UPPER("0000 ")</f>
        <v xml:space="preserve">0000 </v>
      </c>
      <c r="D42" s="2" t="str">
        <f>UPPER("13/49")</f>
        <v>13/49</v>
      </c>
      <c r="E42" s="2" t="str">
        <f>UPPER("VICENZA ")</f>
        <v xml:space="preserve">VICENZA </v>
      </c>
      <c r="F42" s="2" t="str">
        <f>UPPER("CORSO SS. FELICE E FORTUNATO 163")</f>
        <v>CORSO SS. FELICE E FORTUNATO 163</v>
      </c>
      <c r="G42" s="2" t="str">
        <f>UPPER("36100")</f>
        <v>36100</v>
      </c>
      <c r="H42" s="2" t="str">
        <f t="shared" ref="H42:H49" si="43">UPPER("VI")</f>
        <v>VI</v>
      </c>
      <c r="I42" s="2" t="str">
        <f>UPPER("S")</f>
        <v>S</v>
      </c>
      <c r="J42" s="2" t="str">
        <f>UPPER("K")</f>
        <v>K</v>
      </c>
      <c r="K42" s="3"/>
      <c r="L42" s="3"/>
      <c r="M42" s="2" t="str">
        <f>UPPER("1")</f>
        <v>1</v>
      </c>
      <c r="N42" s="2" t="str">
        <f t="shared" si="41"/>
        <v>FU</v>
      </c>
      <c r="O42" s="3"/>
      <c r="P42" s="3"/>
      <c r="Q42" s="3"/>
      <c r="R42" s="3"/>
      <c r="S42" s="2" t="str">
        <f>UPPER("S")</f>
        <v>S</v>
      </c>
      <c r="T42" s="2" t="str">
        <f>UPPER("C")</f>
        <v>C</v>
      </c>
      <c r="U42" s="2" t="str">
        <f>UPPER("S")</f>
        <v>S</v>
      </c>
      <c r="V42" s="2" t="str">
        <f>UPPER("A")</f>
        <v>A</v>
      </c>
      <c r="W42" s="3"/>
      <c r="X42" s="2" t="str">
        <f>UPPER("AREA EDIF. ACQUIST. NEL 1953. DOCUM. ORIG. DELL`ATTO DI COMPRAV. TRASM. ALLA DIR.GEN.IN DATA 24.6.53 ")</f>
        <v xml:space="preserve">AREA EDIF. ACQUIST. NEL 1953. DOCUM. ORIG. DELL`ATTO DI COMPRAV. TRASM. ALLA DIR.GEN.IN DATA 24.6.53 </v>
      </c>
      <c r="Y42" s="3"/>
      <c r="Z42" s="3"/>
      <c r="AA42" s="4">
        <f>DATE(2001,1,9)</f>
        <v>36900</v>
      </c>
      <c r="AB42" s="2" t="str">
        <f>UPPER("VICENZA - VI - CORSO SS. FELICE E FORTUNATO 163")</f>
        <v>VICENZA - VI - CORSO SS. FELICE E FORTUNATO 163</v>
      </c>
      <c r="AC42" s="2" t="str">
        <f>UPPER("1958")</f>
        <v>1958</v>
      </c>
      <c r="AD42" s="2" t="str">
        <f>UPPER(" 0")</f>
        <v xml:space="preserve"> 0</v>
      </c>
      <c r="AE42" s="5">
        <v>35774</v>
      </c>
      <c r="AF42" s="5">
        <v>3132</v>
      </c>
      <c r="AG42" s="5">
        <v>38906</v>
      </c>
      <c r="AH42" s="3"/>
      <c r="AI42" s="5">
        <v>32959</v>
      </c>
      <c r="AJ42" s="5">
        <v>6947</v>
      </c>
      <c r="AK42" s="6">
        <v>964</v>
      </c>
      <c r="AL42" s="5">
        <v>7410</v>
      </c>
      <c r="AM42" s="5">
        <v>1023</v>
      </c>
      <c r="AN42" s="5">
        <v>8433</v>
      </c>
      <c r="AO42" s="5">
        <v>7911</v>
      </c>
      <c r="AP42" s="5">
        <v>6068</v>
      </c>
      <c r="AQ42" s="2" t="str">
        <f>UPPER("Direzione Provinciale")</f>
        <v>DIREZIONE PROVINCIALE</v>
      </c>
    </row>
    <row r="43" spans="1:43" ht="29.25" customHeight="1" x14ac:dyDescent="0.25">
      <c r="A43" s="2" t="str">
        <f>UPPER("06VI03")</f>
        <v>06VI03</v>
      </c>
      <c r="B43" s="2" t="str">
        <f>UPPER("99")</f>
        <v>99</v>
      </c>
      <c r="C43" s="3"/>
      <c r="D43" s="3"/>
      <c r="E43" s="2" t="str">
        <f>UPPER("VICENZA")</f>
        <v>VICENZA</v>
      </c>
      <c r="F43" s="2" t="s">
        <v>52</v>
      </c>
      <c r="G43" s="2" t="str">
        <f>UPPER("36100")</f>
        <v>36100</v>
      </c>
      <c r="H43" s="2" t="str">
        <f t="shared" si="43"/>
        <v>VI</v>
      </c>
      <c r="I43" s="2" t="str">
        <f>UPPER("S")</f>
        <v>S</v>
      </c>
      <c r="J43" s="2" t="str">
        <f>UPPER("P")</f>
        <v>P</v>
      </c>
      <c r="K43" s="3"/>
      <c r="L43" s="3"/>
      <c r="M43" s="3"/>
      <c r="N43" s="2" t="str">
        <f t="shared" si="41"/>
        <v>FU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4">
        <f>DATE(2012,8,10)</f>
        <v>41131</v>
      </c>
      <c r="AB43" s="2" t="str">
        <f>UPPER("VICENZA - VI - VIALE VERDI 64")</f>
        <v>VICENZA - VI - VIALE VERDI 64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" t="str">
        <f>UPPER("Direzione Provinciale")</f>
        <v>DIREZIONE PROVINCIALE</v>
      </c>
    </row>
    <row r="44" spans="1:43" ht="29.25" customHeight="1" x14ac:dyDescent="0.25">
      <c r="A44" s="2"/>
      <c r="B44" s="2"/>
      <c r="C44" s="3"/>
      <c r="D44" s="3"/>
      <c r="E44" s="2" t="str">
        <f>UPPER("VICENZA")</f>
        <v>VICENZA</v>
      </c>
      <c r="F44" s="2" t="s">
        <v>80</v>
      </c>
      <c r="G44" s="2" t="str">
        <f>UPPER("36100")</f>
        <v>36100</v>
      </c>
      <c r="H44" s="2" t="str">
        <f t="shared" si="43"/>
        <v>VI</v>
      </c>
      <c r="I44" s="2" t="str">
        <f>UPPER("S")</f>
        <v>S</v>
      </c>
      <c r="J44" s="2" t="str">
        <f>UPPER("P")</f>
        <v>P</v>
      </c>
      <c r="K44" s="3"/>
      <c r="L44" s="3"/>
      <c r="M44" s="3"/>
      <c r="N44" s="2" t="str">
        <f t="shared" si="41"/>
        <v>FU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4">
        <f>DATE(2012,8,10)</f>
        <v>41131</v>
      </c>
      <c r="AB44" s="2" t="str">
        <f>UPPER("VICENZA - VI - VIALE VERDI 64")</f>
        <v>VICENZA - VI - VIALE VERDI 64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" t="str">
        <f>UPPER("Direzione Provinciale")</f>
        <v>DIREZIONE PROVINCIALE</v>
      </c>
    </row>
    <row r="45" spans="1:43" ht="22.5" x14ac:dyDescent="0.25">
      <c r="A45" s="7" t="str">
        <f>UPPER("06VI61")</f>
        <v>06VI61</v>
      </c>
      <c r="B45" s="7" t="str">
        <f t="shared" ref="B45:B49" si="44">UPPER("06")</f>
        <v>06</v>
      </c>
      <c r="C45" s="7" t="str">
        <f t="shared" ref="C45:C48" si="45">UPPER("0000 ")</f>
        <v xml:space="preserve">0000 </v>
      </c>
      <c r="D45" s="8"/>
      <c r="E45" s="7" t="str">
        <f>UPPER("SCHIO ")</f>
        <v xml:space="preserve">SCHIO </v>
      </c>
      <c r="F45" s="7" t="s">
        <v>62</v>
      </c>
      <c r="G45" s="7" t="str">
        <f>UPPER("36015")</f>
        <v>36015</v>
      </c>
      <c r="H45" s="7" t="str">
        <f t="shared" si="43"/>
        <v>VI</v>
      </c>
      <c r="I45" s="7" t="str">
        <f t="shared" ref="I45:I49" si="46">UPPER("S")</f>
        <v>S</v>
      </c>
      <c r="J45" s="7" t="str">
        <f>UPPER("A")</f>
        <v>A</v>
      </c>
      <c r="K45" s="8"/>
      <c r="L45" s="8"/>
      <c r="M45" s="8"/>
      <c r="N45" s="7" t="str">
        <f t="shared" ref="N45:N49" si="47">UPPER("FU")</f>
        <v>FU</v>
      </c>
      <c r="O45" s="8"/>
      <c r="P45" s="8"/>
      <c r="Q45" s="8"/>
      <c r="R45" s="8"/>
      <c r="S45" s="7" t="str">
        <f>UPPER("C")</f>
        <v>C</v>
      </c>
      <c r="T45" s="8"/>
      <c r="U45" s="7" t="str">
        <f>UPPER("C")</f>
        <v>C</v>
      </c>
      <c r="V45" s="8"/>
      <c r="W45" s="8"/>
      <c r="X45" s="8"/>
      <c r="Y45" s="8"/>
      <c r="Z45" s="8"/>
      <c r="AA45" s="9">
        <f>DATE(2007,11,26)</f>
        <v>39412</v>
      </c>
      <c r="AB45" s="7" t="str">
        <f>UPPER("SCHIO - VI - VIA MARASCHIN 52")</f>
        <v>SCHIO - VI - VIA MARASCHIN 52</v>
      </c>
      <c r="AC45" s="7" t="str">
        <f>UPPER("1965")</f>
        <v>1965</v>
      </c>
      <c r="AD45" s="7" t="str">
        <f>UPPER("1991")</f>
        <v>1991</v>
      </c>
      <c r="AE45" s="8"/>
      <c r="AF45" s="8"/>
      <c r="AG45" s="10">
        <v>2435</v>
      </c>
      <c r="AH45" s="8"/>
      <c r="AI45" s="8"/>
      <c r="AJ45" s="8"/>
      <c r="AK45" s="8"/>
      <c r="AL45" s="8"/>
      <c r="AM45" s="8"/>
      <c r="AN45" s="11">
        <v>738</v>
      </c>
      <c r="AO45" s="11">
        <v>700</v>
      </c>
      <c r="AP45" s="11">
        <v>600</v>
      </c>
      <c r="AQ45" s="7" t="str">
        <f>UPPER("Agenzia ")</f>
        <v xml:space="preserve">AGENZIA </v>
      </c>
    </row>
    <row r="46" spans="1:43" ht="33" x14ac:dyDescent="0.25">
      <c r="A46" s="7" t="str">
        <f>UPPER("06VI63")</f>
        <v>06VI63</v>
      </c>
      <c r="B46" s="7" t="str">
        <f t="shared" si="44"/>
        <v>06</v>
      </c>
      <c r="C46" s="7" t="str">
        <f t="shared" si="45"/>
        <v xml:space="preserve">0000 </v>
      </c>
      <c r="D46" s="8"/>
      <c r="E46" s="7" t="str">
        <f>UPPER("ARZIGNANO ")</f>
        <v xml:space="preserve">ARZIGNANO </v>
      </c>
      <c r="F46" s="7" t="s">
        <v>76</v>
      </c>
      <c r="G46" s="7" t="str">
        <f>UPPER("36061")</f>
        <v>36061</v>
      </c>
      <c r="H46" s="7" t="str">
        <f t="shared" si="43"/>
        <v>VI</v>
      </c>
      <c r="I46" s="7" t="str">
        <f t="shared" si="46"/>
        <v>S</v>
      </c>
      <c r="J46" s="7" t="str">
        <f>UPPER("A")</f>
        <v>A</v>
      </c>
      <c r="K46" s="8"/>
      <c r="L46" s="8"/>
      <c r="M46" s="8"/>
      <c r="N46" s="7" t="str">
        <f t="shared" si="47"/>
        <v>FU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7" t="str">
        <f>UPPER("ARZIGNANO - VI - VIA IV MARTIRI 10")</f>
        <v>ARZIGNANO - VI - VIA IV MARTIRI 10</v>
      </c>
      <c r="AC46" s="7" t="str">
        <f>UPPER(" 0")</f>
        <v xml:space="preserve"> 0</v>
      </c>
      <c r="AD46" s="7" t="str">
        <f>UPPER("1995")</f>
        <v>1995</v>
      </c>
      <c r="AE46" s="8"/>
      <c r="AF46" s="8"/>
      <c r="AG46" s="11">
        <v>0</v>
      </c>
      <c r="AH46" s="8"/>
      <c r="AI46" s="8"/>
      <c r="AJ46" s="8"/>
      <c r="AK46" s="8"/>
      <c r="AL46" s="8"/>
      <c r="AM46" s="8"/>
      <c r="AN46" s="11">
        <v>0</v>
      </c>
      <c r="AO46" s="11">
        <v>0</v>
      </c>
      <c r="AP46" s="11">
        <v>0</v>
      </c>
      <c r="AQ46" s="7" t="s">
        <v>75</v>
      </c>
    </row>
    <row r="47" spans="1:43" ht="22.5" x14ac:dyDescent="0.25">
      <c r="A47" s="7" t="str">
        <f>UPPER("06VI64")</f>
        <v>06VI64</v>
      </c>
      <c r="B47" s="7" t="str">
        <f t="shared" si="44"/>
        <v>06</v>
      </c>
      <c r="C47" s="7" t="str">
        <f t="shared" si="45"/>
        <v xml:space="preserve">0000 </v>
      </c>
      <c r="D47" s="8"/>
      <c r="E47" s="7" t="str">
        <f>UPPER("THIENE ")</f>
        <v xml:space="preserve">THIENE </v>
      </c>
      <c r="F47" s="7" t="s">
        <v>77</v>
      </c>
      <c r="G47" s="8"/>
      <c r="H47" s="7" t="str">
        <f t="shared" si="43"/>
        <v>VI</v>
      </c>
      <c r="I47" s="7" t="str">
        <f t="shared" si="46"/>
        <v>S</v>
      </c>
      <c r="J47" s="7" t="str">
        <f>UPPER("A")</f>
        <v>A</v>
      </c>
      <c r="K47" s="8"/>
      <c r="L47" s="8"/>
      <c r="M47" s="8"/>
      <c r="N47" s="7" t="str">
        <f t="shared" si="47"/>
        <v>FU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9">
        <f>DATE(2007,11,26)</f>
        <v>39412</v>
      </c>
      <c r="AB47" s="7" t="str">
        <f>UPPER("THIENE - VI - VIALE EUROPA 25")</f>
        <v>THIENE - VI - VIALE EUROPA 25</v>
      </c>
      <c r="AC47" s="7" t="str">
        <f>UPPER(" 0")</f>
        <v xml:space="preserve"> 0</v>
      </c>
      <c r="AD47" s="7" t="str">
        <f>UPPER(" 0")</f>
        <v xml:space="preserve"> 0</v>
      </c>
      <c r="AE47" s="8"/>
      <c r="AF47" s="8"/>
      <c r="AG47" s="11">
        <v>0</v>
      </c>
      <c r="AH47" s="8"/>
      <c r="AI47" s="8"/>
      <c r="AJ47" s="8"/>
      <c r="AK47" s="8"/>
      <c r="AL47" s="8"/>
      <c r="AM47" s="8"/>
      <c r="AN47" s="11">
        <v>0</v>
      </c>
      <c r="AO47" s="11">
        <v>0</v>
      </c>
      <c r="AP47" s="11">
        <v>0</v>
      </c>
      <c r="AQ47" s="7" t="s">
        <v>75</v>
      </c>
    </row>
    <row r="48" spans="1:43" ht="33" x14ac:dyDescent="0.25">
      <c r="A48" s="7" t="str">
        <f>UPPER("06VI65")</f>
        <v>06VI65</v>
      </c>
      <c r="B48" s="7" t="str">
        <f t="shared" si="44"/>
        <v>06</v>
      </c>
      <c r="C48" s="7" t="str">
        <f t="shared" si="45"/>
        <v xml:space="preserve">0000 </v>
      </c>
      <c r="D48" s="8"/>
      <c r="E48" s="7" t="s">
        <v>49</v>
      </c>
      <c r="F48" s="7" t="str">
        <f>UPPER("VIA C. COLOMBO 70/94")</f>
        <v>VIA C. COLOMBO 70/94</v>
      </c>
      <c r="G48" s="7" t="str">
        <f>UPPER("36061")</f>
        <v>36061</v>
      </c>
      <c r="H48" s="7" t="str">
        <f t="shared" si="43"/>
        <v>VI</v>
      </c>
      <c r="I48" s="7" t="str">
        <f t="shared" si="46"/>
        <v>S</v>
      </c>
      <c r="J48" s="7" t="str">
        <f>UPPER("A")</f>
        <v>A</v>
      </c>
      <c r="K48" s="8"/>
      <c r="L48" s="9">
        <f>DATE(1997,10,15)</f>
        <v>35718</v>
      </c>
      <c r="M48" s="8"/>
      <c r="N48" s="7" t="str">
        <f t="shared" si="47"/>
        <v>FU</v>
      </c>
      <c r="O48" s="8"/>
      <c r="P48" s="8"/>
      <c r="Q48" s="8"/>
      <c r="R48" s="8"/>
      <c r="S48" s="7" t="str">
        <f>UPPER("C")</f>
        <v>C</v>
      </c>
      <c r="T48" s="8"/>
      <c r="U48" s="8"/>
      <c r="V48" s="8"/>
      <c r="W48" s="8"/>
      <c r="X48" s="8"/>
      <c r="Y48" s="8"/>
      <c r="Z48" s="8"/>
      <c r="AA48" s="9">
        <f>DATE(2007,11,26)</f>
        <v>39412</v>
      </c>
      <c r="AB48" s="7" t="str">
        <f>UPPER("BASSANO 2 - VI - VIA C. COLOMBO 70/94")</f>
        <v>BASSANO 2 - VI - VIA C. COLOMBO 70/94</v>
      </c>
      <c r="AC48" s="7" t="str">
        <f>UPPER(" 0")</f>
        <v xml:space="preserve"> 0</v>
      </c>
      <c r="AD48" s="7" t="str">
        <f>UPPER(" 0")</f>
        <v xml:space="preserve"> 0</v>
      </c>
      <c r="AE48" s="8"/>
      <c r="AF48" s="8"/>
      <c r="AG48" s="11">
        <v>0</v>
      </c>
      <c r="AH48" s="8"/>
      <c r="AI48" s="8"/>
      <c r="AJ48" s="8"/>
      <c r="AK48" s="8"/>
      <c r="AL48" s="8"/>
      <c r="AM48" s="8"/>
      <c r="AN48" s="11">
        <v>0</v>
      </c>
      <c r="AO48" s="11">
        <v>0</v>
      </c>
      <c r="AP48" s="11">
        <v>0</v>
      </c>
      <c r="AQ48" s="7" t="str">
        <f>UPPER("Agenzia ")</f>
        <v xml:space="preserve">AGENZIA </v>
      </c>
    </row>
    <row r="49" spans="1:43" ht="43.5" x14ac:dyDescent="0.25">
      <c r="A49" s="12" t="str">
        <f>UPPER("06VI66")</f>
        <v>06VI66</v>
      </c>
      <c r="B49" s="12" t="str">
        <f t="shared" si="44"/>
        <v>06</v>
      </c>
      <c r="C49" s="13"/>
      <c r="D49" s="13"/>
      <c r="E49" s="12" t="str">
        <f>UPPER("LONIGO  ")</f>
        <v xml:space="preserve">LONIGO  </v>
      </c>
      <c r="F49" s="12" t="s">
        <v>82</v>
      </c>
      <c r="G49" s="12" t="str">
        <f>UPPER("36045")</f>
        <v>36045</v>
      </c>
      <c r="H49" s="12" t="str">
        <f t="shared" si="43"/>
        <v>VI</v>
      </c>
      <c r="I49" s="12" t="str">
        <f t="shared" si="46"/>
        <v>S</v>
      </c>
      <c r="J49" s="12" t="str">
        <f>UPPER("A")</f>
        <v>A</v>
      </c>
      <c r="K49" s="13"/>
      <c r="L49" s="13"/>
      <c r="M49" s="13"/>
      <c r="N49" s="12" t="str">
        <f t="shared" si="47"/>
        <v>FU</v>
      </c>
      <c r="O49" s="13"/>
      <c r="P49" s="13"/>
      <c r="Q49" s="13"/>
      <c r="R49" s="13"/>
      <c r="S49" s="12" t="str">
        <f>UPPER("S")</f>
        <v>S</v>
      </c>
      <c r="T49" s="13"/>
      <c r="U49" s="12" t="str">
        <f>UPPER("S")</f>
        <v>S</v>
      </c>
      <c r="V49" s="13"/>
      <c r="W49" s="13"/>
      <c r="X49" s="13"/>
      <c r="Y49" s="13"/>
      <c r="Z49" s="13"/>
      <c r="AA49" s="14">
        <f>DATE(2007,11,26)</f>
        <v>39412</v>
      </c>
      <c r="AB49" s="12" t="str">
        <f>UPPER("LONIGO 2 - VI - VIA CASTELGIUNCOLI 5")</f>
        <v>LONIGO 2 - VI - VIA CASTELGIUNCOLI 5</v>
      </c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2" t="str">
        <f>UPPER("Agenzia ")</f>
        <v xml:space="preserve">AGENZIA </v>
      </c>
    </row>
    <row r="50" spans="1:43" x14ac:dyDescent="0.25">
      <c r="A50" s="25" t="s">
        <v>70</v>
      </c>
      <c r="B50" s="26"/>
      <c r="C50" s="26"/>
      <c r="D50" s="26"/>
      <c r="E50" s="27"/>
      <c r="F50" s="17"/>
      <c r="G50" s="18"/>
      <c r="H50" s="17"/>
      <c r="I50" s="17"/>
      <c r="J50" s="17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9"/>
      <c r="AB50" s="17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7"/>
    </row>
    <row r="51" spans="1:43" ht="33" x14ac:dyDescent="0.25">
      <c r="A51" s="2" t="str">
        <f>UPPER("06VR50")</f>
        <v>06VR50</v>
      </c>
      <c r="B51" s="2" t="str">
        <f t="shared" ref="B51:B55" si="48">UPPER("06")</f>
        <v>06</v>
      </c>
      <c r="C51" s="3"/>
      <c r="D51" s="3"/>
      <c r="E51" s="2" t="str">
        <f>UPPER("VERONA")</f>
        <v>VERONA</v>
      </c>
      <c r="F51" s="2" t="str">
        <f>UPPER("VIA CESARE BATTISTI 19")</f>
        <v>VIA CESARE BATTISTI 19</v>
      </c>
      <c r="G51" s="2">
        <v>37122</v>
      </c>
      <c r="H51" s="2" t="str">
        <f t="shared" ref="H51:H55" si="49">UPPER("VR")</f>
        <v>VR</v>
      </c>
      <c r="I51" s="2" t="str">
        <f t="shared" ref="I51:I55" si="50">UPPER("S")</f>
        <v>S</v>
      </c>
      <c r="J51" s="2" t="str">
        <f>UPPER("K")</f>
        <v>K</v>
      </c>
      <c r="K51" s="3"/>
      <c r="L51" s="3"/>
      <c r="M51" s="3"/>
      <c r="N51" s="3"/>
      <c r="O51" s="2" t="str">
        <f>UPPER("06VR00")</f>
        <v>06VR00</v>
      </c>
      <c r="P51" s="3"/>
      <c r="Q51" s="2" t="str">
        <f>UPPER("900000")</f>
        <v>900000</v>
      </c>
      <c r="R51" s="4">
        <f>DATE(2004,12,31)</f>
        <v>38352</v>
      </c>
      <c r="S51" s="3"/>
      <c r="T51" s="3"/>
      <c r="U51" s="3"/>
      <c r="V51" s="3"/>
      <c r="W51" s="3"/>
      <c r="X51" s="3"/>
      <c r="Y51" s="3"/>
      <c r="Z51" s="3"/>
      <c r="AA51" s="4">
        <f>DATE(2013,7,3)</f>
        <v>41458</v>
      </c>
      <c r="AB51" s="2" t="str">
        <f>UPPER("VERONA - VR - VIA CESARE BATTISTI 19")</f>
        <v>VERONA - VR - VIA CESARE BATTISTI 19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2" t="str">
        <f>UPPER("Direzione Provinciale")</f>
        <v>DIREZIONE PROVINCIALE</v>
      </c>
    </row>
    <row r="52" spans="1:43" ht="22.5" x14ac:dyDescent="0.25">
      <c r="A52" s="7" t="str">
        <f>UPPER("06VR61")</f>
        <v>06VR61</v>
      </c>
      <c r="B52" s="7" t="str">
        <f t="shared" si="48"/>
        <v>06</v>
      </c>
      <c r="C52" s="7" t="str">
        <f>UPPER("0000 ")</f>
        <v xml:space="preserve">0000 </v>
      </c>
      <c r="D52" s="8"/>
      <c r="E52" s="7" t="str">
        <f>UPPER("S.BONIFACIO ")</f>
        <v xml:space="preserve">S.BONIFACIO </v>
      </c>
      <c r="F52" s="12" t="s">
        <v>83</v>
      </c>
      <c r="G52" s="7" t="str">
        <f>UPPER("37047")</f>
        <v>37047</v>
      </c>
      <c r="H52" s="7" t="str">
        <f t="shared" si="49"/>
        <v>VR</v>
      </c>
      <c r="I52" s="7" t="str">
        <f t="shared" si="50"/>
        <v>S</v>
      </c>
      <c r="J52" s="7" t="str">
        <f>UPPER("A")</f>
        <v>A</v>
      </c>
      <c r="K52" s="8"/>
      <c r="L52" s="8"/>
      <c r="M52" s="8"/>
      <c r="N52" s="7" t="str">
        <f t="shared" ref="N52:N55" si="51">UPPER("FU")</f>
        <v>FU</v>
      </c>
      <c r="O52" s="8"/>
      <c r="P52" s="8"/>
      <c r="Q52" s="8"/>
      <c r="R52" s="8"/>
      <c r="S52" s="7" t="str">
        <f>UPPER("C")</f>
        <v>C</v>
      </c>
      <c r="T52" s="8"/>
      <c r="U52" s="7" t="str">
        <f>UPPER("C")</f>
        <v>C</v>
      </c>
      <c r="V52" s="8"/>
      <c r="W52" s="8"/>
      <c r="X52" s="8"/>
      <c r="Y52" s="8"/>
      <c r="Z52" s="8"/>
      <c r="AA52" s="9">
        <f>DATE(2007,11,26)</f>
        <v>39412</v>
      </c>
      <c r="AB52" s="7" t="str">
        <f>UPPER("S.BONIFACIO - VR - VIA SORTE 21")</f>
        <v>S.BONIFACIO - VR - VIA SORTE 21</v>
      </c>
      <c r="AC52" s="7" t="str">
        <f>UPPER("1990")</f>
        <v>1990</v>
      </c>
      <c r="AD52" s="7" t="str">
        <f>UPPER("1992")</f>
        <v>1992</v>
      </c>
      <c r="AE52" s="8"/>
      <c r="AF52" s="8"/>
      <c r="AG52" s="10">
        <v>1935</v>
      </c>
      <c r="AH52" s="8"/>
      <c r="AI52" s="8"/>
      <c r="AJ52" s="8"/>
      <c r="AK52" s="8"/>
      <c r="AL52" s="8"/>
      <c r="AM52" s="8"/>
      <c r="AN52" s="11">
        <v>645</v>
      </c>
      <c r="AO52" s="11">
        <v>476</v>
      </c>
      <c r="AP52" s="11">
        <v>355</v>
      </c>
      <c r="AQ52" s="7" t="str">
        <f>UPPER("Agenzia ")</f>
        <v xml:space="preserve">AGENZIA </v>
      </c>
    </row>
    <row r="53" spans="1:43" ht="22.5" x14ac:dyDescent="0.25">
      <c r="A53" s="7" t="str">
        <f>UPPER("06VR62")</f>
        <v>06VR62</v>
      </c>
      <c r="B53" s="7" t="str">
        <f t="shared" si="48"/>
        <v>06</v>
      </c>
      <c r="C53" s="7" t="str">
        <f>UPPER("0000 ")</f>
        <v xml:space="preserve">0000 </v>
      </c>
      <c r="D53" s="8"/>
      <c r="E53" s="7" t="s">
        <v>50</v>
      </c>
      <c r="F53" s="7" t="s">
        <v>78</v>
      </c>
      <c r="G53" s="7" t="str">
        <f>UPPER("37045")</f>
        <v>37045</v>
      </c>
      <c r="H53" s="7" t="str">
        <f t="shared" si="49"/>
        <v>VR</v>
      </c>
      <c r="I53" s="7" t="str">
        <f t="shared" si="50"/>
        <v>S</v>
      </c>
      <c r="J53" s="7" t="str">
        <f>UPPER("A")</f>
        <v>A</v>
      </c>
      <c r="K53" s="8"/>
      <c r="L53" s="8"/>
      <c r="M53" s="8"/>
      <c r="N53" s="7" t="str">
        <f t="shared" si="51"/>
        <v>FU</v>
      </c>
      <c r="O53" s="8"/>
      <c r="P53" s="8"/>
      <c r="Q53" s="8"/>
      <c r="R53" s="8"/>
      <c r="S53" s="7" t="str">
        <f>UPPER("C")</f>
        <v>C</v>
      </c>
      <c r="T53" s="8"/>
      <c r="U53" s="7" t="str">
        <f>UPPER("C")</f>
        <v>C</v>
      </c>
      <c r="V53" s="8"/>
      <c r="W53" s="8"/>
      <c r="X53" s="8"/>
      <c r="Y53" s="8"/>
      <c r="Z53" s="8"/>
      <c r="AA53" s="8"/>
      <c r="AB53" s="7" t="str">
        <f>UPPER("LEGNAGO 2 - VR - VIA MARCONI 8")</f>
        <v>LEGNAGO 2 - VR - VIA MARCONI 8</v>
      </c>
      <c r="AC53" s="7" t="str">
        <f>UPPER(" 0")</f>
        <v xml:space="preserve"> 0</v>
      </c>
      <c r="AD53" s="7" t="str">
        <f>UPPER("1993")</f>
        <v>1993</v>
      </c>
      <c r="AE53" s="8"/>
      <c r="AF53" s="8"/>
      <c r="AG53" s="10">
        <v>4754</v>
      </c>
      <c r="AH53" s="8"/>
      <c r="AI53" s="8"/>
      <c r="AJ53" s="8"/>
      <c r="AK53" s="8"/>
      <c r="AL53" s="8"/>
      <c r="AM53" s="8"/>
      <c r="AN53" s="10">
        <v>1271</v>
      </c>
      <c r="AO53" s="10">
        <v>1092</v>
      </c>
      <c r="AP53" s="11">
        <v>883</v>
      </c>
      <c r="AQ53" s="7" t="str">
        <f>UPPER("Agenzia ")</f>
        <v xml:space="preserve">AGENZIA </v>
      </c>
    </row>
    <row r="54" spans="1:43" ht="43.5" x14ac:dyDescent="0.25">
      <c r="A54" s="7" t="str">
        <f>UPPER("06VR63")</f>
        <v>06VR63</v>
      </c>
      <c r="B54" s="7" t="str">
        <f t="shared" si="48"/>
        <v>06</v>
      </c>
      <c r="C54" s="7" t="str">
        <f>UPPER("0000 ")</f>
        <v xml:space="preserve">0000 </v>
      </c>
      <c r="D54" s="8"/>
      <c r="E54" s="7" t="str">
        <f>UPPER("CAPRINO VERONESE ")</f>
        <v xml:space="preserve">CAPRINO VERONESE </v>
      </c>
      <c r="F54" s="7" t="str">
        <f>UPPER("P.LE DELLA VITTORIA 6")</f>
        <v>P.LE DELLA VITTORIA 6</v>
      </c>
      <c r="G54" s="7" t="str">
        <f>UPPER("88888")</f>
        <v>88888</v>
      </c>
      <c r="H54" s="7" t="str">
        <f t="shared" si="49"/>
        <v>VR</v>
      </c>
      <c r="I54" s="7" t="str">
        <f t="shared" si="50"/>
        <v>S</v>
      </c>
      <c r="J54" s="7" t="str">
        <f>UPPER("A")</f>
        <v>A</v>
      </c>
      <c r="K54" s="8"/>
      <c r="L54" s="8"/>
      <c r="M54" s="8"/>
      <c r="N54" s="7" t="str">
        <f t="shared" si="51"/>
        <v>FU</v>
      </c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9">
        <f>DATE(2007,11,26)</f>
        <v>39412</v>
      </c>
      <c r="AB54" s="7" t="str">
        <f>UPPER("CAPRINO VERONESE - VR - P.LE DELLA VITTORIA 6")</f>
        <v>CAPRINO VERONESE - VR - P.LE DELLA VITTORIA 6</v>
      </c>
      <c r="AC54" s="7" t="str">
        <f>UPPER(" 0")</f>
        <v xml:space="preserve"> 0</v>
      </c>
      <c r="AD54" s="7" t="str">
        <f>UPPER(" 0")</f>
        <v xml:space="preserve"> 0</v>
      </c>
      <c r="AE54" s="8"/>
      <c r="AF54" s="8"/>
      <c r="AG54" s="11">
        <v>0</v>
      </c>
      <c r="AH54" s="8"/>
      <c r="AI54" s="8"/>
      <c r="AJ54" s="8"/>
      <c r="AK54" s="8"/>
      <c r="AL54" s="8"/>
      <c r="AM54" s="8"/>
      <c r="AN54" s="11">
        <v>0</v>
      </c>
      <c r="AO54" s="11">
        <v>0</v>
      </c>
      <c r="AP54" s="11">
        <v>0</v>
      </c>
      <c r="AQ54" s="7" t="str">
        <f>UPPER("Agenzia ")</f>
        <v xml:space="preserve">AGENZIA </v>
      </c>
    </row>
    <row r="55" spans="1:43" ht="33" x14ac:dyDescent="0.25">
      <c r="A55" s="2" t="str">
        <f>UPPER("06VR64")</f>
        <v>06VR64</v>
      </c>
      <c r="B55" s="2" t="str">
        <f t="shared" si="48"/>
        <v>06</v>
      </c>
      <c r="C55" s="3"/>
      <c r="D55" s="3"/>
      <c r="E55" s="2" t="s">
        <v>51</v>
      </c>
      <c r="F55" s="2" t="s">
        <v>53</v>
      </c>
      <c r="G55" s="2" t="str">
        <f>UPPER("37069")</f>
        <v>37069</v>
      </c>
      <c r="H55" s="2" t="str">
        <f t="shared" si="49"/>
        <v>VR</v>
      </c>
      <c r="I55" s="2" t="str">
        <f t="shared" si="50"/>
        <v>S</v>
      </c>
      <c r="J55" s="2" t="str">
        <f>UPPER("A")</f>
        <v>A</v>
      </c>
      <c r="K55" s="3"/>
      <c r="L55" s="3"/>
      <c r="M55" s="3"/>
      <c r="N55" s="2" t="str">
        <f t="shared" si="51"/>
        <v>FU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4">
        <f>DATE(2013,7,8)</f>
        <v>41463</v>
      </c>
      <c r="AB55" s="2" t="str">
        <f>UPPER("VILLAFRANCA - VR - VIA MARCONI 18")</f>
        <v>VILLAFRANCA - VR - VIA MARCONI 18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2" t="str">
        <f>UPPER("Agenzia ")</f>
        <v xml:space="preserve">AGENZIA </v>
      </c>
    </row>
  </sheetData>
  <mergeCells count="7">
    <mergeCell ref="A50:E50"/>
    <mergeCell ref="A4:E4"/>
    <mergeCell ref="A10:E10"/>
    <mergeCell ref="A18:E18"/>
    <mergeCell ref="A22:E22"/>
    <mergeCell ref="A30:E30"/>
    <mergeCell ref="A41:E41"/>
  </mergeCell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671DCC760B4F449955F1B18A435EAE" ma:contentTypeVersion="0" ma:contentTypeDescription="Creare un nuovo documento." ma:contentTypeScope="" ma:versionID="c88b0e8dc04063106421a9522b719f2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eec16d3e841ebf650196acacb84c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D2177A-B9A7-4248-9CEC-EF386127AC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ADBC70-09D4-4DBC-9F71-569883E162C7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0647326-B3D9-426D-BFFB-E2ADF4E50F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Immobile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Dirita Daniela</dc:creator>
  <cp:lastModifiedBy>AutoBVT</cp:lastModifiedBy>
  <cp:lastPrinted>2017-03-06T10:22:41Z</cp:lastPrinted>
  <dcterms:created xsi:type="dcterms:W3CDTF">2014-09-23T09:11:51Z</dcterms:created>
  <dcterms:modified xsi:type="dcterms:W3CDTF">2018-11-12T13:57:27Z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0x01010029671DCC760B4F449955F1B18A435EAE</vt:lpwstr>
  </property>
</Properties>
</file>